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<sst xmlns="http://schemas.openxmlformats.org/spreadsheetml/2006/main" count="1721" uniqueCount="357">
  <si>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</si>
  <si>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</si>
  <si>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</si>
  <si>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</si>
  <si>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</si>
  <si>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</si>
  <si>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</si>
  <si>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</si>
  <si>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</si>
  <si>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</si>
  <si>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</si>
  <si>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</si>
  <si>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</si>
  <si>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</si>
  <si>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</si>
  <si>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</si>
  <si>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</si>
  <si>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</si>
  <si>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</si>
  <si>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</si>
  <si>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</si>
  <si>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</si>
  <si>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</si>
  <si>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</si>
  <si>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</si>
  <si>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</si>
  <si>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</si>
  <si>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</si>
  <si>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</si>
  <si>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</si>
  <si>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</si>
  <si>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</si>
  <si>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</si>
  <si>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</si>
  <si>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</si>
  <si>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</si>
  <si>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</si>
  <si>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</si>
  <si>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</si>
  <si>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</si>
  <si>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</si>
  <si>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</si>
  <si>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</si>
  <si>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</si>
  <si>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</si>
  <si>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</si>
  <si>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</si>
  <si>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</si>
  <si>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</si>
  <si>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</si>
  <si>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</si>
  <si>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</si>
  <si>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</si>
  <si>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</si>
  <si>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</si>
  <si>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</si>
  <si>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</si>
  <si>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</si>
  <si>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</si>
  <si>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</si>
  <si>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</si>
  <si>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</si>
  <si>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</si>
  <si>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</si>
  <si>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</si>
  <si>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</si>
  <si>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</si>
  <si>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</si>
  <si>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</si>
  <si>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</si>
  <si>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</si>
  <si>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</si>
  <si>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</si>
  <si>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</si>
  <si>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</si>
  <si>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</si>
  <si>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</si>
  <si>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</si>
  <si>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</si>
  <si>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</si>
  <si>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</si>
  <si>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</si>
  <si>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</si>
  <si>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</si>
  <si>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</si>
  <si>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</si>
  <si>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</si>
  <si>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</si>
  <si>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</si>
  <si>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</si>
  <si>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</si>
  <si>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</si>
  <si>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</si>
  <si>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</si>
  <si>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</si>
  <si>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</si>
  <si>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</si>
  <si>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</si>
  <si>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</si>
  <si>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</si>
  <si>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</si>
  <si>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</si>
  <si>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</si>
  <si>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</si>
  <si>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</si>
  <si>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</si>
  <si>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</si>
  <si>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</si>
  <si>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</si>
  <si>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</si>
  <si>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</si>
  <si>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</si>
  <si>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</si>
  <si>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</si>
  <si>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</si>
  <si>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</si>
  <si>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</si>
  <si>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</si>
  <si>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</si>
  <si>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</si>
  <si>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</si>
  <si>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</si>
  <si>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</si>
  <si>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</si>
  <si>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</si>
  <si>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</si>
  <si>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</si>
  <si>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</si>
  <si>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</si>
  <si>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</si>
  <si>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</si>
  <si>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</si>
  <si>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</si>
  <si>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</si>
  <si>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</si>
  <si>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</si>
  <si>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</si>
  <si>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</si>
  <si>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</si>
  <si>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</si>
  <si>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</si>
  <si>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</si>
  <si>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</si>
  <si>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</si>
  <si>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</si>
  <si>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</si>
  <si>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</si>
  <si>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</si>
  <si>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</si>
  <si>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</si>
  <si>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</si>
  <si>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</si>
  <si>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</si>
  <si>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</si>
  <si>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</si>
  <si>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</si>
  <si>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</si>
  <si>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</si>
  <si>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</si>
  <si>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</si>
  <si>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</si>
  <si>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</si>
  <si>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</si>
  <si>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</si>
  <si>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</si>
  <si>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</si>
  <si>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</si>
  <si>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</si>
  <si>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</si>
  <si>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</si>
  <si>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</si>
  <si>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</si>
  <si>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</si>
  <si>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</si>
  <si>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</si>
  <si>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</si>
  <si>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</si>
  <si>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</si>
  <si>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</si>
  <si>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</si>
  <si>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</si>
  <si>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</si>
  <si>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</si>
  <si>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</si>
  <si>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</si>
  <si>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</si>
  <si>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</si>
  <si>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</si>
  <si>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</si>
  <si>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</si>
  <si>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</si>
  <si>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</si>
  <si>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</si>
  <si>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</si>
  <si>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</si>
  <si>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</si>
  <si>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</si>
  <si>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</si>
  <si>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</si>
  <si>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</si>
  <si>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</si>
  <si>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</si>
  <si>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</si>
  <si>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</si>
  <si>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</si>
  <si>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</si>
  <si>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</si>
  <si>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</si>
  <si>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</si>
  <si>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</si>
  <si>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</si>
  <si>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</si>
  <si>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</si>
  <si>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</si>
  <si>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</si>
  <si>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</si>
  <si>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</si>
  <si>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</si>
  <si>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</si>
  <si>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</si>
  <si>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</si>
  <si>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</si>
  <si>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</si>
  <si>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</si>
  <si>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</si>
  <si>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</si>
  <si>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</si>
  <si>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</si>
  <si>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</si>
  <si>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</si>
  <si>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</si>
  <si>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</si>
  <si>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</si>
  <si>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</si>
  <si>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</si>
  <si>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</si>
  <si>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</si>
  <si>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</si>
  <si>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</si>
  <si>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</si>
  <si>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</si>
  <si>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</si>
  <si>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</si>
  <si>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</si>
  <si>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</si>
  <si>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</si>
  <si>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</si>
  <si>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</si>
  <si>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</si>
  <si>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</si>
  <si>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</si>
  <si>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</si>
  <si>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</si>
  <si>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</si>
  <si>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</si>
  <si>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</si>
  <si>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</si>
  <si>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</si>
  <si>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</si>
  <si>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</si>
  <si>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</si>
  <si>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</si>
  <si>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</si>
  <si>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</si>
  <si>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</si>
  <si>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</si>
  <si>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</si>
  <si>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</si>
  <si>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</si>
  <si>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</si>
  <si>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</si>
  <si>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</si>
  <si>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</si>
  <si>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</si>
  <si>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</si>
  <si>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</si>
  <si>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</si>
  <si>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</si>
  <si>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</si>
  <si>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</si>
  <si>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</si>
  <si>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</si>
  <si>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</si>
  <si>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</si>
  <si>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</si>
  <si>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</si>
  <si>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</si>
  <si>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</si>
  <si>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</si>
  <si>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</si>
  <si>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</si>
  <si>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</si>
  <si>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</si>
  <si>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</si>
  <si>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</si>
  <si>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</si>
  <si>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</si>
  <si>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</si>
  <si>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</si>
  <si>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</si>
  <si>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</si>
  <si>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</si>
  <si>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</si>
  <si>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</si>
  <si>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</si>
  <si>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</si>
  <si>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</si>
  <si>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</si>
  <si>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</si>
  <si>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</si>
  <si>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</si>
  <si>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</si>
  <si>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</si>
  <si>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</si>
  <si>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</si>
  <si>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</si>
  <si>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</si>
  <si>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</si>
  <si>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</si>
  <si>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</si>
  <si>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</si>
  <si>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</si>
  <si>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</si>
  <si>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</si>
  <si>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</si>
  <si>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</si>
  <si>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</si>
  <si>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</si>
  <si>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</si>
  <si>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</si>
  <si>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</si>
  <si>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</si>
  <si>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</si>
  <si>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</si>
  <si>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</si>
  <si>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t>
  </si>
  <si>
    <t>Ведом ствен ная целе вая прог рамма</t>
  </si>
  <si>
    <t>Груп па вида рас ходов</t>
  </si>
  <si>
    <t>Муни ципа льная про грам ма и не про грамм ное нап рав ление</t>
  </si>
  <si>
    <t>Груп па вида рас-ходов</t>
  </si>
  <si>
    <t>Груп па вида рас хо дов</t>
  </si>
  <si>
    <t>Муни ципа льная прог рамма и непро грам мное напра вле ние</t>
  </si>
  <si>
    <t>Другие вопросы в области охраны окружающей среды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</si>
  <si>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</si>
  <si>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2021 год  с учетом изменений</t>
  </si>
  <si>
    <t>% исполнения</t>
  </si>
  <si>
    <t>Исполнено за 2021 год</t>
  </si>
  <si>
    <t xml:space="preserve">Распределение бюджетных ассигнований по разделам и по подразделам классификации расходов районного бюджета за 2021 год 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</si>
  <si>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</si>
  <si>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</si>
  <si>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</si>
  <si>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</si>
  <si>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</si>
  <si>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>Приложение №3</t>
  </si>
  <si>
    <t>к решению Алексеевской районной Думы</t>
  </si>
  <si>
    <t>от __________________ г.№________</t>
  </si>
  <si>
    <t xml:space="preserve">Исполнение по расходам бюджета Алексеевского муниципального района по разделам, подразделам, целевым статьям и видам расходов бюджета в составе ведомственной структуры расходов районного бюджета за 2021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</si>
</sst>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textRotation="90" wrapText="1"/>
    </xf>
    <xf numFmtId="1" fontId="11" fillId="33" borderId="10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1" fontId="12" fillId="33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center" textRotation="90" wrapText="1"/>
    </xf>
    <xf numFmtId="174" fontId="45" fillId="0" borderId="0" xfId="53" applyNumberFormat="1">
      <alignment/>
      <protection/>
    </xf>
    <xf numFmtId="173" fontId="7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110" zoomScaleNormal="110" zoomScalePageLayoutView="0" workbookViewId="0" topLeftCell="A43">
      <selection activeCell="H50" sqref="H50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2.57421875" style="20" customWidth="1"/>
    <col min="4" max="4" width="15.28125" style="20" customWidth="1"/>
    <col min="5" max="5" width="10.8515625" style="20" bestFit="1" customWidth="1"/>
    <col min="6" max="16384" width="9.140625" style="20" customWidth="1"/>
  </cols>
  <sheetData>
    <row r="1" spans="1:5" ht="16.5" customHeight="1">
      <c r="A1" s="18" t="s">
        <v>121</v>
      </c>
      <c r="B1" s="19"/>
      <c r="C1" s="117" t="s">
        <v>348</v>
      </c>
      <c r="D1" s="117"/>
      <c r="E1" s="117"/>
    </row>
    <row r="2" spans="1:5" ht="16.5" customHeight="1">
      <c r="A2" s="18"/>
      <c r="B2" s="19"/>
      <c r="C2" s="117" t="s">
        <v>349</v>
      </c>
      <c r="D2" s="117"/>
      <c r="E2" s="117"/>
    </row>
    <row r="3" spans="1:5" ht="16.5" customHeight="1">
      <c r="A3" s="18"/>
      <c r="B3" s="19"/>
      <c r="C3" s="115" t="s">
        <v>350</v>
      </c>
      <c r="D3" s="115"/>
      <c r="E3" s="115"/>
    </row>
    <row r="4" spans="1:5" ht="16.5" customHeight="1">
      <c r="A4" s="18"/>
      <c r="B4" s="115" t="s">
        <v>351</v>
      </c>
      <c r="C4" s="115"/>
      <c r="D4" s="115"/>
      <c r="E4" s="115"/>
    </row>
    <row r="5" spans="1:5" ht="16.5" customHeight="1">
      <c r="A5" s="18"/>
      <c r="B5" s="115" t="s">
        <v>352</v>
      </c>
      <c r="C5" s="115"/>
      <c r="D5" s="115"/>
      <c r="E5" s="115"/>
    </row>
    <row r="6" spans="1:5" ht="41.25" customHeight="1">
      <c r="A6" s="118" t="s">
        <v>347</v>
      </c>
      <c r="B6" s="118"/>
      <c r="C6" s="118"/>
      <c r="D6" s="118"/>
      <c r="E6" s="118"/>
    </row>
    <row r="7" spans="1:5" ht="16.5">
      <c r="A7" s="21" t="s">
        <v>124</v>
      </c>
      <c r="B7" s="19"/>
      <c r="C7" s="116"/>
      <c r="D7" s="116"/>
      <c r="E7" s="79" t="s">
        <v>290</v>
      </c>
    </row>
    <row r="8" spans="1:5" ht="38.25">
      <c r="A8" s="39" t="s">
        <v>125</v>
      </c>
      <c r="B8" s="39" t="s">
        <v>126</v>
      </c>
      <c r="C8" s="33" t="s">
        <v>344</v>
      </c>
      <c r="D8" s="33" t="s">
        <v>346</v>
      </c>
      <c r="E8" s="33" t="s">
        <v>345</v>
      </c>
    </row>
    <row r="9" spans="1:5" ht="16.5" customHeight="1">
      <c r="A9" s="74" t="s">
        <v>41</v>
      </c>
      <c r="B9" s="75" t="s">
        <v>127</v>
      </c>
      <c r="C9" s="94">
        <f>SUM(C10:C18)</f>
        <v>81496.58567</v>
      </c>
      <c r="D9" s="94">
        <f>SUM(D10:D18)</f>
        <v>81368.56727999999</v>
      </c>
      <c r="E9" s="92">
        <f aca="true" t="shared" si="0" ref="E9:E61">SUM(D9/C9)*100</f>
        <v>99.84291564002645</v>
      </c>
    </row>
    <row r="10" spans="1:5" ht="29.25" customHeight="1">
      <c r="A10" s="42" t="s">
        <v>42</v>
      </c>
      <c r="B10" s="41" t="s">
        <v>33</v>
      </c>
      <c r="C10" s="95">
        <f>SUM('Таблица №8'!F11)</f>
        <v>1762.25885</v>
      </c>
      <c r="D10" s="95">
        <f>SUM('Таблица №8'!G11)</f>
        <v>1762.25885</v>
      </c>
      <c r="E10" s="93">
        <f t="shared" si="0"/>
        <v>100</v>
      </c>
    </row>
    <row r="11" spans="1:5" ht="28.5" customHeight="1">
      <c r="A11" s="42" t="s">
        <v>28</v>
      </c>
      <c r="B11" s="41" t="s">
        <v>25</v>
      </c>
      <c r="C11" s="95">
        <f>SUM('Таблица №8'!F14)</f>
        <v>432.97807</v>
      </c>
      <c r="D11" s="95">
        <f>SUM('Таблица №8'!G14)</f>
        <v>432.97807</v>
      </c>
      <c r="E11" s="93">
        <f t="shared" si="0"/>
        <v>100</v>
      </c>
    </row>
    <row r="12" spans="1:5" ht="57.75" customHeight="1">
      <c r="A12" s="42" t="s">
        <v>40</v>
      </c>
      <c r="B12" s="41" t="s">
        <v>34</v>
      </c>
      <c r="C12" s="95">
        <f>SUM('Таблица №8'!F20)</f>
        <v>30000.460819999997</v>
      </c>
      <c r="D12" s="95">
        <f>SUM('Таблица №8'!G20)</f>
        <v>30000.460819999997</v>
      </c>
      <c r="E12" s="93">
        <f t="shared" si="0"/>
        <v>100</v>
      </c>
    </row>
    <row r="13" spans="1:5" ht="15" customHeight="1">
      <c r="A13" s="42" t="s">
        <v>43</v>
      </c>
      <c r="B13" s="41" t="s">
        <v>35</v>
      </c>
      <c r="C13" s="95">
        <f>SUM('Приложение 3'!G51)</f>
        <v>3.4</v>
      </c>
      <c r="D13" s="95">
        <f>SUM('Приложение 3'!H51)</f>
        <v>0</v>
      </c>
      <c r="E13" s="93">
        <f t="shared" si="0"/>
        <v>0</v>
      </c>
    </row>
    <row r="14" spans="1:5" ht="42.75" customHeight="1">
      <c r="A14" s="42" t="s">
        <v>31</v>
      </c>
      <c r="B14" s="41" t="s">
        <v>32</v>
      </c>
      <c r="C14" s="95">
        <f>SUM('Таблица №8'!F44)</f>
        <v>1316.29101</v>
      </c>
      <c r="D14" s="95">
        <f>SUM('Таблица №8'!G44)</f>
        <v>1316.29101</v>
      </c>
      <c r="E14" s="93">
        <f t="shared" si="0"/>
        <v>100</v>
      </c>
    </row>
    <row r="15" spans="1:5" ht="16.5" customHeight="1">
      <c r="A15" s="42" t="s">
        <v>44</v>
      </c>
      <c r="B15" s="41" t="s">
        <v>36</v>
      </c>
      <c r="C15" s="95">
        <f>SUM('Таблица №8'!F51)</f>
        <v>0</v>
      </c>
      <c r="D15" s="95">
        <f>SUM('Таблица №8'!G51)</f>
        <v>0</v>
      </c>
      <c r="E15" s="93">
        <v>0</v>
      </c>
    </row>
    <row r="16" spans="1:5" ht="16.5" customHeight="1">
      <c r="A16" s="42" t="s">
        <v>45</v>
      </c>
      <c r="B16" s="41" t="s">
        <v>128</v>
      </c>
      <c r="C16" s="95">
        <f>SUM('Таблица №8'!F55)</f>
        <v>0</v>
      </c>
      <c r="D16" s="95">
        <f>SUM('Таблица №8'!G55)</f>
        <v>0</v>
      </c>
      <c r="E16" s="93">
        <v>0</v>
      </c>
    </row>
    <row r="17" spans="1:5" ht="16.5" customHeight="1">
      <c r="A17" s="42" t="s">
        <v>29</v>
      </c>
      <c r="B17" s="41" t="s">
        <v>46</v>
      </c>
      <c r="C17" s="95">
        <f>SUM('Таблица №8'!F57)-C18</f>
        <v>47981.19692</v>
      </c>
      <c r="D17" s="95">
        <f>SUM('Таблица №8'!G57)-D18</f>
        <v>47856.57853</v>
      </c>
      <c r="E17" s="93">
        <f t="shared" si="0"/>
        <v>99.74027661250764</v>
      </c>
    </row>
    <row r="18" spans="1:5" ht="16.5" customHeight="1">
      <c r="A18" s="42" t="s">
        <v>29</v>
      </c>
      <c r="B18" s="41" t="s">
        <v>47</v>
      </c>
      <c r="C18" s="95">
        <f>SUM('Таблица №8'!F92)</f>
        <v>0</v>
      </c>
      <c r="D18" s="95">
        <f>SUM('Таблица №8'!G92)</f>
        <v>0</v>
      </c>
      <c r="E18" s="93">
        <v>0</v>
      </c>
    </row>
    <row r="19" spans="1:5" ht="16.5" customHeight="1">
      <c r="A19" s="74" t="s">
        <v>112</v>
      </c>
      <c r="B19" s="75" t="s">
        <v>129</v>
      </c>
      <c r="C19" s="94">
        <f>SUM(C20)</f>
        <v>2.541</v>
      </c>
      <c r="D19" s="94">
        <f>SUM(D20)</f>
        <v>2.541</v>
      </c>
      <c r="E19" s="92">
        <f t="shared" si="0"/>
        <v>100</v>
      </c>
    </row>
    <row r="20" spans="1:5" ht="16.5" customHeight="1">
      <c r="A20" s="42" t="s">
        <v>50</v>
      </c>
      <c r="B20" s="41" t="s">
        <v>49</v>
      </c>
      <c r="C20" s="95">
        <f>SUM('Таблица №8'!F93)</f>
        <v>2.541</v>
      </c>
      <c r="D20" s="95">
        <f>SUM('Таблица №8'!G93)</f>
        <v>2.541</v>
      </c>
      <c r="E20" s="93">
        <f t="shared" si="0"/>
        <v>100</v>
      </c>
    </row>
    <row r="21" spans="1:5" ht="27.75" customHeight="1">
      <c r="A21" s="74" t="s">
        <v>113</v>
      </c>
      <c r="B21" s="75" t="s">
        <v>117</v>
      </c>
      <c r="C21" s="94">
        <f>SUM(C22:C23)</f>
        <v>0</v>
      </c>
      <c r="D21" s="94">
        <f>SUM(D22:D23)</f>
        <v>0</v>
      </c>
      <c r="E21" s="92">
        <v>0</v>
      </c>
    </row>
    <row r="22" spans="1:5" ht="16.5" customHeight="1">
      <c r="A22" s="42" t="s">
        <v>51</v>
      </c>
      <c r="B22" s="41" t="s">
        <v>309</v>
      </c>
      <c r="C22" s="95">
        <f>SUM('Таблица №8'!F99)</f>
        <v>0</v>
      </c>
      <c r="D22" s="95">
        <f>SUM('Таблица №8'!G99)</f>
        <v>0</v>
      </c>
      <c r="E22" s="93">
        <v>0</v>
      </c>
    </row>
    <row r="23" spans="1:5" ht="42.75" customHeight="1">
      <c r="A23" s="42" t="s">
        <v>308</v>
      </c>
      <c r="B23" s="41" t="s">
        <v>307</v>
      </c>
      <c r="C23" s="95">
        <f>SUM('Таблица №8'!F102)</f>
        <v>0</v>
      </c>
      <c r="D23" s="95">
        <f>SUM('Таблица №8'!G102)</f>
        <v>0</v>
      </c>
      <c r="E23" s="93">
        <v>0</v>
      </c>
    </row>
    <row r="24" spans="1:5" ht="15.75" customHeight="1">
      <c r="A24" s="74" t="s">
        <v>59</v>
      </c>
      <c r="B24" s="75" t="s">
        <v>118</v>
      </c>
      <c r="C24" s="94">
        <f>SUM(C25:C27)</f>
        <v>28690.38422</v>
      </c>
      <c r="D24" s="94">
        <f>SUM(D25:D27)</f>
        <v>26409.0925</v>
      </c>
      <c r="E24" s="92">
        <f t="shared" si="0"/>
        <v>92.0485842834767</v>
      </c>
    </row>
    <row r="25" spans="1:5" ht="15.75" customHeight="1">
      <c r="A25" s="42" t="s">
        <v>143</v>
      </c>
      <c r="B25" s="41" t="s">
        <v>142</v>
      </c>
      <c r="C25" s="95">
        <f>SUM('Таблица №8'!F109)</f>
        <v>134.4</v>
      </c>
      <c r="D25" s="95">
        <f>SUM('Таблица №8'!G109)</f>
        <v>134.4</v>
      </c>
      <c r="E25" s="93">
        <f t="shared" si="0"/>
        <v>100</v>
      </c>
    </row>
    <row r="26" spans="1:5" ht="15.75" customHeight="1">
      <c r="A26" s="42" t="s">
        <v>52</v>
      </c>
      <c r="B26" s="41" t="s">
        <v>119</v>
      </c>
      <c r="C26" s="95">
        <f>SUM('Таблица №8'!F113)</f>
        <v>27595.48422</v>
      </c>
      <c r="D26" s="95">
        <f>SUM('Таблица №8'!G113)</f>
        <v>25314.192499999997</v>
      </c>
      <c r="E26" s="93">
        <f t="shared" si="0"/>
        <v>91.73309769883791</v>
      </c>
    </row>
    <row r="27" spans="1:5" ht="15.75" customHeight="1">
      <c r="A27" s="42" t="s">
        <v>53</v>
      </c>
      <c r="B27" s="41" t="s">
        <v>120</v>
      </c>
      <c r="C27" s="95">
        <f>SUM('Таблица №8'!F121)</f>
        <v>960.5</v>
      </c>
      <c r="D27" s="95">
        <f>SUM('Таблица №8'!G121)</f>
        <v>960.5</v>
      </c>
      <c r="E27" s="93">
        <f t="shared" si="0"/>
        <v>100</v>
      </c>
    </row>
    <row r="28" spans="1:5" ht="15.75" customHeight="1">
      <c r="A28" s="74" t="s">
        <v>56</v>
      </c>
      <c r="B28" s="75" t="s">
        <v>130</v>
      </c>
      <c r="C28" s="94">
        <f>SUM(C29:C30)</f>
        <v>122931.68043</v>
      </c>
      <c r="D28" s="94">
        <f>SUM(D29:D30)</f>
        <v>122931.68043</v>
      </c>
      <c r="E28" s="92">
        <f t="shared" si="0"/>
        <v>100</v>
      </c>
    </row>
    <row r="29" spans="1:5" ht="14.25" customHeight="1">
      <c r="A29" s="42" t="s">
        <v>57</v>
      </c>
      <c r="B29" s="41" t="s">
        <v>54</v>
      </c>
      <c r="C29" s="95">
        <f>SUM('Таблица №8'!F132)</f>
        <v>118377.86343</v>
      </c>
      <c r="D29" s="95">
        <f>SUM('Таблица №8'!G132)</f>
        <v>118377.86343</v>
      </c>
      <c r="E29" s="93">
        <f t="shared" si="0"/>
        <v>100</v>
      </c>
    </row>
    <row r="30" spans="1:5" ht="15">
      <c r="A30" s="42" t="s">
        <v>131</v>
      </c>
      <c r="B30" s="41" t="s">
        <v>132</v>
      </c>
      <c r="C30" s="95">
        <f>SUM('Таблица №8'!F149)</f>
        <v>4553.817</v>
      </c>
      <c r="D30" s="95">
        <f>SUM('Таблица №8'!G149)</f>
        <v>4553.817</v>
      </c>
      <c r="E30" s="93">
        <f t="shared" si="0"/>
        <v>100</v>
      </c>
    </row>
    <row r="31" spans="1:5" ht="15.75" customHeight="1">
      <c r="A31" s="74" t="s">
        <v>114</v>
      </c>
      <c r="B31" s="75" t="s">
        <v>58</v>
      </c>
      <c r="C31" s="94">
        <f>SUM(C32)</f>
        <v>0</v>
      </c>
      <c r="D31" s="94">
        <f>SUM(D32)</f>
        <v>0</v>
      </c>
      <c r="E31" s="93">
        <v>0</v>
      </c>
    </row>
    <row r="32" spans="1:5" ht="15.75" customHeight="1">
      <c r="A32" s="42" t="s">
        <v>60</v>
      </c>
      <c r="B32" s="41" t="s">
        <v>342</v>
      </c>
      <c r="C32" s="95">
        <f>SUM('Таблица №8'!F150)</f>
        <v>0</v>
      </c>
      <c r="D32" s="95">
        <f>SUM('Таблица №8'!G150)</f>
        <v>0</v>
      </c>
      <c r="E32" s="93">
        <v>0</v>
      </c>
    </row>
    <row r="33" spans="1:5" ht="18" customHeight="1">
      <c r="A33" s="74" t="s">
        <v>64</v>
      </c>
      <c r="B33" s="75" t="s">
        <v>61</v>
      </c>
      <c r="C33" s="94">
        <f>SUM(C34:C38)</f>
        <v>253044.01555999997</v>
      </c>
      <c r="D33" s="94">
        <f>SUM(D34:D38)</f>
        <v>252377.73015999998</v>
      </c>
      <c r="E33" s="92">
        <f t="shared" si="0"/>
        <v>99.73669189586425</v>
      </c>
    </row>
    <row r="34" spans="1:5" ht="18" customHeight="1">
      <c r="A34" s="42" t="s">
        <v>63</v>
      </c>
      <c r="B34" s="41" t="s">
        <v>62</v>
      </c>
      <c r="C34" s="95">
        <f>SUM('Таблица №8'!F155)</f>
        <v>38725.52332</v>
      </c>
      <c r="D34" s="95">
        <f>SUM('Таблица №8'!G155)</f>
        <v>38617.92332</v>
      </c>
      <c r="E34" s="93">
        <f t="shared" si="0"/>
        <v>99.72214707310508</v>
      </c>
    </row>
    <row r="35" spans="1:5" ht="18" customHeight="1">
      <c r="A35" s="42" t="s">
        <v>65</v>
      </c>
      <c r="B35" s="41" t="s">
        <v>70</v>
      </c>
      <c r="C35" s="95">
        <f>SUM('Таблица №8'!F177)</f>
        <v>194571.39222999997</v>
      </c>
      <c r="D35" s="95">
        <f>SUM('Таблица №8'!G177)</f>
        <v>194368.08683</v>
      </c>
      <c r="E35" s="93">
        <f t="shared" si="0"/>
        <v>99.89551115522694</v>
      </c>
    </row>
    <row r="36" spans="1:5" ht="18" customHeight="1">
      <c r="A36" s="42" t="s">
        <v>205</v>
      </c>
      <c r="B36" s="41" t="s">
        <v>204</v>
      </c>
      <c r="C36" s="95">
        <f>SUM('Таблица №8'!F217)</f>
        <v>11039.139210000001</v>
      </c>
      <c r="D36" s="95">
        <f>SUM('Таблица №8'!G217)</f>
        <v>11039.139210000001</v>
      </c>
      <c r="E36" s="93">
        <f t="shared" si="0"/>
        <v>100</v>
      </c>
    </row>
    <row r="37" spans="1:5" ht="18" customHeight="1">
      <c r="A37" s="42" t="s">
        <v>71</v>
      </c>
      <c r="B37" s="41" t="s">
        <v>310</v>
      </c>
      <c r="C37" s="95">
        <f>SUM('Таблица №8'!F225)</f>
        <v>7294.855039999999</v>
      </c>
      <c r="D37" s="95">
        <f>SUM('Таблица №8'!G225)</f>
        <v>6939.475039999999</v>
      </c>
      <c r="E37" s="93">
        <f t="shared" si="0"/>
        <v>95.12834733450715</v>
      </c>
    </row>
    <row r="38" spans="1:5" ht="18" customHeight="1">
      <c r="A38" s="42" t="s">
        <v>73</v>
      </c>
      <c r="B38" s="41" t="s">
        <v>72</v>
      </c>
      <c r="C38" s="95">
        <f>SUM('Таблица №8'!F241)</f>
        <v>1413.10576</v>
      </c>
      <c r="D38" s="95">
        <f>SUM('Таблица №8'!G241)</f>
        <v>1413.10576</v>
      </c>
      <c r="E38" s="93">
        <f t="shared" si="0"/>
        <v>100</v>
      </c>
    </row>
    <row r="39" spans="1:5" ht="18" customHeight="1">
      <c r="A39" s="74" t="s">
        <v>115</v>
      </c>
      <c r="B39" s="75" t="s">
        <v>133</v>
      </c>
      <c r="C39" s="94">
        <f>SUM(C40:C42)</f>
        <v>38395.530119999996</v>
      </c>
      <c r="D39" s="94">
        <f>SUM(D40:D42)</f>
        <v>38395.530119999996</v>
      </c>
      <c r="E39" s="92">
        <f t="shared" si="0"/>
        <v>100</v>
      </c>
    </row>
    <row r="40" spans="1:5" ht="18" customHeight="1">
      <c r="A40" s="42" t="s">
        <v>80</v>
      </c>
      <c r="B40" s="41" t="s">
        <v>116</v>
      </c>
      <c r="C40" s="95">
        <f>SUM('Таблица №8'!F249)</f>
        <v>35738.03941</v>
      </c>
      <c r="D40" s="95">
        <f>SUM('Таблица №8'!G249)</f>
        <v>35738.03941</v>
      </c>
      <c r="E40" s="93">
        <f t="shared" si="0"/>
        <v>100</v>
      </c>
    </row>
    <row r="41" spans="1:5" ht="18" customHeight="1">
      <c r="A41" s="42" t="s">
        <v>81</v>
      </c>
      <c r="B41" s="41" t="s">
        <v>78</v>
      </c>
      <c r="C41" s="95">
        <f>SUM('Таблица №8'!F269)</f>
        <v>225.16126000000003</v>
      </c>
      <c r="D41" s="95">
        <f>SUM('Таблица №8'!G269)</f>
        <v>225.16126000000003</v>
      </c>
      <c r="E41" s="93">
        <f t="shared" si="0"/>
        <v>100</v>
      </c>
    </row>
    <row r="42" spans="1:5" ht="21" customHeight="1">
      <c r="A42" s="42" t="s">
        <v>82</v>
      </c>
      <c r="B42" s="41" t="s">
        <v>79</v>
      </c>
      <c r="C42" s="95">
        <f>SUM('Таблица №8'!F271+'Таблица №8'!F273)</f>
        <v>2432.32945</v>
      </c>
      <c r="D42" s="95">
        <f>SUM('Таблица №8'!G271+'Таблица №8'!G273)</f>
        <v>2432.32945</v>
      </c>
      <c r="E42" s="93">
        <f t="shared" si="0"/>
        <v>100</v>
      </c>
    </row>
    <row r="43" spans="1:5" ht="18" customHeight="1">
      <c r="A43" s="74" t="s">
        <v>208</v>
      </c>
      <c r="B43" s="75" t="s">
        <v>207</v>
      </c>
      <c r="C43" s="94">
        <f>SUM(C44)</f>
        <v>12.5</v>
      </c>
      <c r="D43" s="94">
        <f>SUM(D44)</f>
        <v>12.5</v>
      </c>
      <c r="E43" s="92">
        <f t="shared" si="0"/>
        <v>100</v>
      </c>
    </row>
    <row r="44" spans="1:5" ht="15">
      <c r="A44" s="42" t="s">
        <v>210</v>
      </c>
      <c r="B44" s="41" t="s">
        <v>209</v>
      </c>
      <c r="C44" s="95">
        <f>SUM('Таблица №8'!F276)</f>
        <v>12.5</v>
      </c>
      <c r="D44" s="95">
        <f>SUM('Таблица №8'!G276)</f>
        <v>12.5</v>
      </c>
      <c r="E44" s="93">
        <f t="shared" si="0"/>
        <v>100</v>
      </c>
    </row>
    <row r="45" spans="1:5" ht="18" customHeight="1">
      <c r="A45" s="74">
        <v>1000</v>
      </c>
      <c r="B45" s="75" t="s">
        <v>83</v>
      </c>
      <c r="C45" s="94">
        <f>SUM(C46:C49)</f>
        <v>26248.326269999998</v>
      </c>
      <c r="D45" s="94">
        <f>SUM(D46:D49)</f>
        <v>25809.170699999995</v>
      </c>
      <c r="E45" s="92">
        <f t="shared" si="0"/>
        <v>98.32691972248941</v>
      </c>
    </row>
    <row r="46" spans="1:5" ht="18" customHeight="1">
      <c r="A46" s="42">
        <v>1001</v>
      </c>
      <c r="B46" s="41" t="s">
        <v>84</v>
      </c>
      <c r="C46" s="95">
        <f>SUM('Таблица №8'!F281)</f>
        <v>4126.09727</v>
      </c>
      <c r="D46" s="95">
        <f>SUM('Таблица №8'!G281)</f>
        <v>4126.09727</v>
      </c>
      <c r="E46" s="93">
        <f t="shared" si="0"/>
        <v>100</v>
      </c>
    </row>
    <row r="47" spans="1:5" ht="18" customHeight="1">
      <c r="A47" s="42">
        <v>1003</v>
      </c>
      <c r="B47" s="41" t="s">
        <v>87</v>
      </c>
      <c r="C47" s="95">
        <f>SUM('Таблица №8'!F284)</f>
        <v>14440.185999999998</v>
      </c>
      <c r="D47" s="95">
        <f>SUM('Таблица №8'!G284)</f>
        <v>14082.244429999999</v>
      </c>
      <c r="E47" s="93">
        <f t="shared" si="0"/>
        <v>97.52121219214213</v>
      </c>
    </row>
    <row r="48" spans="1:5" ht="18" customHeight="1">
      <c r="A48" s="42">
        <v>1004</v>
      </c>
      <c r="B48" s="41" t="s">
        <v>88</v>
      </c>
      <c r="C48" s="95">
        <f>SUM('Таблица №8'!F294)</f>
        <v>6603.6</v>
      </c>
      <c r="D48" s="95">
        <f>SUM('Таблица №8'!G294)</f>
        <v>6522.386</v>
      </c>
      <c r="E48" s="93">
        <f t="shared" si="0"/>
        <v>98.77015567266339</v>
      </c>
    </row>
    <row r="49" spans="1:5" ht="18" customHeight="1">
      <c r="A49" s="42" t="s">
        <v>219</v>
      </c>
      <c r="B49" s="41" t="s">
        <v>220</v>
      </c>
      <c r="C49" s="95">
        <f>SUM('Таблица №8'!F304)</f>
        <v>1078.443</v>
      </c>
      <c r="D49" s="95">
        <f>SUM('Таблица №8'!G304)</f>
        <v>1078.443</v>
      </c>
      <c r="E49" s="93">
        <f t="shared" si="0"/>
        <v>100</v>
      </c>
    </row>
    <row r="50" spans="1:5" ht="17.25" customHeight="1">
      <c r="A50" s="74" t="s">
        <v>134</v>
      </c>
      <c r="B50" s="75" t="s">
        <v>91</v>
      </c>
      <c r="C50" s="94">
        <f>SUM(C51:C53)</f>
        <v>704.08164</v>
      </c>
      <c r="D50" s="94">
        <f>SUM(D51:D53)</f>
        <v>704.08164</v>
      </c>
      <c r="E50" s="92">
        <f t="shared" si="0"/>
        <v>100</v>
      </c>
    </row>
    <row r="51" spans="1:5" ht="18" customHeight="1" hidden="1">
      <c r="A51" s="42" t="s">
        <v>211</v>
      </c>
      <c r="B51" s="41" t="s">
        <v>281</v>
      </c>
      <c r="C51" s="95">
        <f>SUM('Приложение 3'!G311)</f>
        <v>0</v>
      </c>
      <c r="D51" s="95">
        <f>SUM('Приложение 3'!H311)</f>
        <v>0</v>
      </c>
      <c r="E51" s="93" t="e">
        <f t="shared" si="0"/>
        <v>#DIV/0!</v>
      </c>
    </row>
    <row r="52" spans="1:5" ht="15">
      <c r="A52" s="42" t="s">
        <v>274</v>
      </c>
      <c r="B52" s="41" t="s">
        <v>275</v>
      </c>
      <c r="C52" s="95">
        <f>SUM('Приложение 3'!G315)</f>
        <v>250</v>
      </c>
      <c r="D52" s="95">
        <f>SUM('Приложение 3'!H315)</f>
        <v>250</v>
      </c>
      <c r="E52" s="93">
        <f t="shared" si="0"/>
        <v>100</v>
      </c>
    </row>
    <row r="53" spans="1:5" ht="26.25" customHeight="1">
      <c r="A53" s="42" t="s">
        <v>92</v>
      </c>
      <c r="B53" s="41" t="s">
        <v>212</v>
      </c>
      <c r="C53" s="95">
        <f>SUM('Таблица №8'!F318)</f>
        <v>454.08164</v>
      </c>
      <c r="D53" s="95">
        <f>SUM('Таблица №8'!G318)</f>
        <v>454.08164</v>
      </c>
      <c r="E53" s="93">
        <f t="shared" si="0"/>
        <v>100</v>
      </c>
    </row>
    <row r="54" spans="1:5" ht="18" customHeight="1">
      <c r="A54" s="74" t="s">
        <v>135</v>
      </c>
      <c r="B54" s="75" t="s">
        <v>93</v>
      </c>
      <c r="C54" s="94">
        <f>SUM(C55:C56)</f>
        <v>2181.1</v>
      </c>
      <c r="D54" s="94">
        <f>SUM(D55:D56)</f>
        <v>2181.1</v>
      </c>
      <c r="E54" s="92">
        <f t="shared" si="0"/>
        <v>100</v>
      </c>
    </row>
    <row r="55" spans="1:5" ht="18" customHeight="1" hidden="1">
      <c r="A55" s="42" t="s">
        <v>194</v>
      </c>
      <c r="B55" s="41" t="s">
        <v>193</v>
      </c>
      <c r="C55" s="95">
        <v>0</v>
      </c>
      <c r="D55" s="95">
        <v>0</v>
      </c>
      <c r="E55" s="93" t="e">
        <f t="shared" si="0"/>
        <v>#DIV/0!</v>
      </c>
    </row>
    <row r="56" spans="1:5" ht="18" customHeight="1">
      <c r="A56" s="42" t="s">
        <v>95</v>
      </c>
      <c r="B56" s="41" t="s">
        <v>94</v>
      </c>
      <c r="C56" s="95">
        <f>SUM('Приложение 3'!G324)</f>
        <v>2181.1</v>
      </c>
      <c r="D56" s="95">
        <f>SUM('Приложение 3'!H324)</f>
        <v>2181.1</v>
      </c>
      <c r="E56" s="93">
        <f t="shared" si="0"/>
        <v>100</v>
      </c>
    </row>
    <row r="57" spans="1:5" ht="29.25" customHeight="1">
      <c r="A57" s="74" t="s">
        <v>136</v>
      </c>
      <c r="B57" s="75" t="s">
        <v>96</v>
      </c>
      <c r="C57" s="94">
        <f>SUM(C58:C58)</f>
        <v>312.57151</v>
      </c>
      <c r="D57" s="94">
        <f>SUM(D58:D58)</f>
        <v>312.57151</v>
      </c>
      <c r="E57" s="92">
        <v>0</v>
      </c>
    </row>
    <row r="58" spans="1:5" ht="30">
      <c r="A58" s="42" t="s">
        <v>97</v>
      </c>
      <c r="B58" s="41" t="s">
        <v>291</v>
      </c>
      <c r="C58" s="95">
        <f>SUM('Таблица №8'!F327)</f>
        <v>312.57151</v>
      </c>
      <c r="D58" s="95">
        <f>SUM('Таблица №8'!G327)</f>
        <v>312.57151</v>
      </c>
      <c r="E58" s="93">
        <f t="shared" si="0"/>
        <v>100</v>
      </c>
    </row>
    <row r="59" spans="1:5" ht="43.5" customHeight="1">
      <c r="A59" s="74" t="s">
        <v>165</v>
      </c>
      <c r="B59" s="75" t="s">
        <v>164</v>
      </c>
      <c r="C59" s="94">
        <f>SUM(C60:C60)</f>
        <v>18627.49861</v>
      </c>
      <c r="D59" s="94">
        <f>SUM(D60:D60)</f>
        <v>18503.7486</v>
      </c>
      <c r="E59" s="92">
        <f t="shared" si="0"/>
        <v>99.33565953974322</v>
      </c>
    </row>
    <row r="60" spans="1:5" ht="22.5" customHeight="1">
      <c r="A60" s="42" t="s">
        <v>167</v>
      </c>
      <c r="B60" s="41" t="s">
        <v>166</v>
      </c>
      <c r="C60" s="95">
        <f>SUM('Приложение 3'!G334)</f>
        <v>18627.49861</v>
      </c>
      <c r="D60" s="95">
        <f>SUM('Приложение 3'!H334)</f>
        <v>18503.7486</v>
      </c>
      <c r="E60" s="93">
        <f t="shared" si="0"/>
        <v>99.33565953974322</v>
      </c>
    </row>
    <row r="61" spans="1:5" ht="21" customHeight="1">
      <c r="A61" s="76"/>
      <c r="B61" s="77" t="s">
        <v>137</v>
      </c>
      <c r="C61" s="94">
        <f>C9+C19+C21+C24+C28+C31+C33+C39+C45+C50+C54+C57+C59+C43</f>
        <v>572646.8150299999</v>
      </c>
      <c r="D61" s="94">
        <f>D9+D19+D21+D24+D28+D31+D33+D39+D45+D50+D54+D57+D59+D43</f>
        <v>569008.31394</v>
      </c>
      <c r="E61" s="92">
        <f t="shared" si="0"/>
        <v>99.36461689919479</v>
      </c>
    </row>
    <row r="62" ht="15">
      <c r="C62" s="90"/>
    </row>
  </sheetData>
  <sheetProtection/>
  <mergeCells count="7">
    <mergeCell ref="B4:E4"/>
    <mergeCell ref="B5:E5"/>
    <mergeCell ref="C7:D7"/>
    <mergeCell ref="C1:E1"/>
    <mergeCell ref="C2:E2"/>
    <mergeCell ref="C3:E3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6"/>
  <sheetViews>
    <sheetView showGridLines="0" tabSelected="1" zoomScale="90" zoomScaleNormal="90" zoomScalePageLayoutView="0" workbookViewId="0" topLeftCell="A1">
      <pane ySplit="9" topLeftCell="A263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5"/>
  <cols>
    <col min="1" max="1" width="54.421875" style="7" customWidth="1"/>
    <col min="2" max="2" width="5.8515625" style="12" customWidth="1"/>
    <col min="3" max="3" width="6.140625" style="12" customWidth="1"/>
    <col min="4" max="4" width="4.7109375" style="23" customWidth="1"/>
    <col min="5" max="5" width="4.8515625" style="27" customWidth="1"/>
    <col min="6" max="6" width="4.8515625" style="11" customWidth="1"/>
    <col min="7" max="7" width="14.8515625" style="2" customWidth="1"/>
    <col min="8" max="8" width="15.7109375" style="2" customWidth="1"/>
    <col min="9" max="9" width="12.421875" style="2" customWidth="1"/>
    <col min="10" max="16384" width="9.140625" style="2" customWidth="1"/>
  </cols>
  <sheetData>
    <row r="1" spans="5:9" ht="18">
      <c r="E1" s="24"/>
      <c r="F1" s="22"/>
      <c r="G1" s="117"/>
      <c r="H1" s="117"/>
      <c r="I1" s="117"/>
    </row>
    <row r="2" spans="1:9" ht="18.75" customHeight="1">
      <c r="A2" s="107"/>
      <c r="B2" s="108"/>
      <c r="C2" s="108"/>
      <c r="D2" s="109"/>
      <c r="E2" s="117" t="s">
        <v>353</v>
      </c>
      <c r="F2" s="117"/>
      <c r="G2" s="117"/>
      <c r="H2" s="117"/>
      <c r="I2" s="117"/>
    </row>
    <row r="3" spans="1:9" ht="18.75" customHeight="1">
      <c r="A3" s="117" t="s">
        <v>354</v>
      </c>
      <c r="B3" s="117"/>
      <c r="C3" s="117"/>
      <c r="D3" s="117"/>
      <c r="E3" s="117"/>
      <c r="F3" s="117"/>
      <c r="G3" s="117"/>
      <c r="H3" s="117"/>
      <c r="I3" s="117"/>
    </row>
    <row r="4" spans="1:9" ht="18.75" customHeight="1">
      <c r="A4" s="107"/>
      <c r="B4" s="117" t="s">
        <v>355</v>
      </c>
      <c r="C4" s="117"/>
      <c r="D4" s="117"/>
      <c r="E4" s="117"/>
      <c r="F4" s="117"/>
      <c r="G4" s="117"/>
      <c r="H4" s="117"/>
      <c r="I4" s="117"/>
    </row>
    <row r="5" spans="1:9" ht="18.75">
      <c r="A5" s="110"/>
      <c r="B5" s="111"/>
      <c r="C5" s="111"/>
      <c r="D5" s="112"/>
      <c r="E5" s="113"/>
      <c r="F5" s="113"/>
      <c r="G5" s="113"/>
      <c r="H5" s="113"/>
      <c r="I5" s="114"/>
    </row>
    <row r="6" spans="1:9" ht="33.75" customHeight="1">
      <c r="A6" s="120" t="s">
        <v>356</v>
      </c>
      <c r="B6" s="120"/>
      <c r="C6" s="120"/>
      <c r="D6" s="120"/>
      <c r="E6" s="120"/>
      <c r="F6" s="120"/>
      <c r="G6" s="120"/>
      <c r="H6" s="120"/>
      <c r="I6" s="120"/>
    </row>
    <row r="7" spans="1:6" ht="10.5" customHeight="1">
      <c r="A7" s="6"/>
      <c r="B7" s="3"/>
      <c r="C7" s="3"/>
      <c r="D7" s="25"/>
      <c r="E7" s="26"/>
      <c r="F7" s="9"/>
    </row>
    <row r="8" spans="1:9" ht="12.75" hidden="1">
      <c r="A8" s="6"/>
      <c r="B8" s="3"/>
      <c r="C8" s="3"/>
      <c r="D8" s="25"/>
      <c r="E8" s="26"/>
      <c r="F8" s="9"/>
      <c r="G8" s="119"/>
      <c r="H8" s="119"/>
      <c r="I8" s="80" t="s">
        <v>290</v>
      </c>
    </row>
    <row r="9" spans="1:9" ht="91.5" customHeight="1">
      <c r="A9" s="96" t="s">
        <v>1</v>
      </c>
      <c r="B9" s="97" t="s">
        <v>174</v>
      </c>
      <c r="C9" s="98" t="s">
        <v>175</v>
      </c>
      <c r="D9" s="99" t="s">
        <v>338</v>
      </c>
      <c r="E9" s="70" t="s">
        <v>270</v>
      </c>
      <c r="F9" s="100" t="s">
        <v>340</v>
      </c>
      <c r="G9" s="101" t="s">
        <v>344</v>
      </c>
      <c r="H9" s="101" t="s">
        <v>346</v>
      </c>
      <c r="I9" s="101" t="s">
        <v>345</v>
      </c>
    </row>
    <row r="10" spans="1:9" ht="15.75" outlineLevel="1">
      <c r="A10" s="44" t="s">
        <v>26</v>
      </c>
      <c r="B10" s="59" t="s">
        <v>27</v>
      </c>
      <c r="C10" s="59"/>
      <c r="D10" s="59"/>
      <c r="E10" s="61" t="s">
        <v>0</v>
      </c>
      <c r="F10" s="60"/>
      <c r="G10" s="91">
        <f>SUM(G11)</f>
        <v>432.97807</v>
      </c>
      <c r="H10" s="91">
        <f>SUM(H11)</f>
        <v>432.97807</v>
      </c>
      <c r="I10" s="91">
        <f aca="true" t="shared" si="0" ref="I10:I69">SUM(H10/G10)*100</f>
        <v>100</v>
      </c>
    </row>
    <row r="11" spans="1:9" ht="15.75" outlineLevel="1">
      <c r="A11" s="44" t="s">
        <v>99</v>
      </c>
      <c r="B11" s="59" t="s">
        <v>27</v>
      </c>
      <c r="C11" s="59" t="s">
        <v>41</v>
      </c>
      <c r="D11" s="59"/>
      <c r="E11" s="61"/>
      <c r="F11" s="60"/>
      <c r="G11" s="91">
        <f>SUM(G12)</f>
        <v>432.97807</v>
      </c>
      <c r="H11" s="91">
        <f>SUM(H12)</f>
        <v>432.97807</v>
      </c>
      <c r="I11" s="91">
        <f t="shared" si="0"/>
        <v>100</v>
      </c>
    </row>
    <row r="12" spans="1:9" ht="38.25" customHeight="1" outlineLevel="2">
      <c r="A12" s="44" t="s">
        <v>25</v>
      </c>
      <c r="B12" s="59" t="s">
        <v>27</v>
      </c>
      <c r="C12" s="59" t="s">
        <v>28</v>
      </c>
      <c r="D12" s="59"/>
      <c r="E12" s="61"/>
      <c r="F12" s="60"/>
      <c r="G12" s="91">
        <f>SUM(G13+G16)</f>
        <v>432.97807</v>
      </c>
      <c r="H12" s="91">
        <f>SUM(H13+H16)</f>
        <v>432.97807</v>
      </c>
      <c r="I12" s="91">
        <f t="shared" si="0"/>
        <v>100</v>
      </c>
    </row>
    <row r="13" spans="1:9" ht="23.25" customHeight="1" outlineLevel="2">
      <c r="A13" s="44" t="s">
        <v>102</v>
      </c>
      <c r="B13" s="59" t="s">
        <v>27</v>
      </c>
      <c r="C13" s="59" t="s">
        <v>28</v>
      </c>
      <c r="D13" s="59" t="s">
        <v>11</v>
      </c>
      <c r="E13" s="61" t="s">
        <v>9</v>
      </c>
      <c r="F13" s="60"/>
      <c r="G13" s="91">
        <f>SUM(G14:G15)</f>
        <v>432.97807</v>
      </c>
      <c r="H13" s="91">
        <f>SUM(H14:H15)</f>
        <v>432.97807</v>
      </c>
      <c r="I13" s="91">
        <f t="shared" si="0"/>
        <v>100</v>
      </c>
    </row>
    <row r="14" spans="1:9" ht="51" customHeight="1" outlineLevel="2">
      <c r="A14" s="44" t="s">
        <v>100</v>
      </c>
      <c r="B14" s="59" t="s">
        <v>27</v>
      </c>
      <c r="C14" s="59" t="s">
        <v>28</v>
      </c>
      <c r="D14" s="59" t="s">
        <v>11</v>
      </c>
      <c r="E14" s="61" t="s">
        <v>9</v>
      </c>
      <c r="F14" s="60">
        <v>100</v>
      </c>
      <c r="G14" s="91">
        <f>373.4+16.6-1.344-17.01693-0.005</f>
        <v>371.63407</v>
      </c>
      <c r="H14" s="91">
        <f>373.4+16.6-1.344-17.01693-0.005</f>
        <v>371.63407</v>
      </c>
      <c r="I14" s="91">
        <f t="shared" si="0"/>
        <v>100</v>
      </c>
    </row>
    <row r="15" spans="1:9" s="4" customFormat="1" ht="24" outlineLevel="3">
      <c r="A15" s="44" t="s">
        <v>101</v>
      </c>
      <c r="B15" s="59" t="s">
        <v>27</v>
      </c>
      <c r="C15" s="59" t="s">
        <v>28</v>
      </c>
      <c r="D15" s="59" t="s">
        <v>11</v>
      </c>
      <c r="E15" s="61">
        <v>0</v>
      </c>
      <c r="F15" s="60">
        <v>200</v>
      </c>
      <c r="G15" s="91">
        <f>57.5+10.4-7.9+1.344</f>
        <v>61.34400000000001</v>
      </c>
      <c r="H15" s="91">
        <f>57.5+10.4-7.9+1.344</f>
        <v>61.34400000000001</v>
      </c>
      <c r="I15" s="91">
        <f t="shared" si="0"/>
        <v>100</v>
      </c>
    </row>
    <row r="16" spans="1:9" s="4" customFormat="1" ht="25.5" customHeight="1" hidden="1" outlineLevel="3">
      <c r="A16" s="44" t="s">
        <v>151</v>
      </c>
      <c r="B16" s="59" t="s">
        <v>27</v>
      </c>
      <c r="C16" s="59" t="s">
        <v>28</v>
      </c>
      <c r="D16" s="59" t="s">
        <v>16</v>
      </c>
      <c r="E16" s="61">
        <v>0</v>
      </c>
      <c r="F16" s="60"/>
      <c r="G16" s="102">
        <f>SUM(G17)</f>
        <v>0</v>
      </c>
      <c r="H16" s="102">
        <f>SUM(H17)</f>
        <v>0</v>
      </c>
      <c r="I16" s="91" t="e">
        <f t="shared" si="0"/>
        <v>#DIV/0!</v>
      </c>
    </row>
    <row r="17" spans="1:9" s="4" customFormat="1" ht="15.75" hidden="1" outlineLevel="3">
      <c r="A17" s="44" t="s">
        <v>141</v>
      </c>
      <c r="B17" s="59" t="s">
        <v>27</v>
      </c>
      <c r="C17" s="59" t="s">
        <v>28</v>
      </c>
      <c r="D17" s="59" t="s">
        <v>16</v>
      </c>
      <c r="E17" s="61">
        <v>0</v>
      </c>
      <c r="F17" s="60">
        <v>800</v>
      </c>
      <c r="G17" s="91">
        <f>0.05+0.05-0.1</f>
        <v>0</v>
      </c>
      <c r="H17" s="91">
        <f>0.05+0.05-0.1</f>
        <v>0</v>
      </c>
      <c r="I17" s="91" t="e">
        <f t="shared" si="0"/>
        <v>#DIV/0!</v>
      </c>
    </row>
    <row r="18" spans="1:9" s="4" customFormat="1" ht="24" customHeight="1" outlineLevel="3">
      <c r="A18" s="44" t="s">
        <v>295</v>
      </c>
      <c r="B18" s="59" t="s">
        <v>30</v>
      </c>
      <c r="C18" s="59"/>
      <c r="D18" s="59"/>
      <c r="E18" s="61"/>
      <c r="F18" s="60"/>
      <c r="G18" s="91">
        <f>SUM(G19)</f>
        <v>1316.29101</v>
      </c>
      <c r="H18" s="91">
        <f>SUM(H19)</f>
        <v>1316.29101</v>
      </c>
      <c r="I18" s="91">
        <f t="shared" si="0"/>
        <v>100</v>
      </c>
    </row>
    <row r="19" spans="1:9" s="4" customFormat="1" ht="15.75" outlineLevel="3">
      <c r="A19" s="44" t="s">
        <v>99</v>
      </c>
      <c r="B19" s="59" t="s">
        <v>30</v>
      </c>
      <c r="C19" s="59" t="s">
        <v>41</v>
      </c>
      <c r="D19" s="72"/>
      <c r="E19" s="69"/>
      <c r="F19" s="71"/>
      <c r="G19" s="91">
        <f>SUM(G20)</f>
        <v>1316.29101</v>
      </c>
      <c r="H19" s="91">
        <f>SUM(H20)</f>
        <v>1316.29101</v>
      </c>
      <c r="I19" s="91">
        <f t="shared" si="0"/>
        <v>100</v>
      </c>
    </row>
    <row r="20" spans="1:9" s="4" customFormat="1" ht="29.25" customHeight="1" outlineLevel="3">
      <c r="A20" s="44" t="s">
        <v>32</v>
      </c>
      <c r="B20" s="59" t="s">
        <v>30</v>
      </c>
      <c r="C20" s="59" t="s">
        <v>31</v>
      </c>
      <c r="D20" s="59"/>
      <c r="E20" s="61"/>
      <c r="F20" s="60"/>
      <c r="G20" s="91">
        <f>SUM(G21+G24)</f>
        <v>1316.29101</v>
      </c>
      <c r="H20" s="91">
        <f>SUM(H21+H24)</f>
        <v>1316.29101</v>
      </c>
      <c r="I20" s="91">
        <f t="shared" si="0"/>
        <v>100</v>
      </c>
    </row>
    <row r="21" spans="1:9" s="4" customFormat="1" ht="29.25" customHeight="1" outlineLevel="3">
      <c r="A21" s="44" t="s">
        <v>102</v>
      </c>
      <c r="B21" s="59" t="s">
        <v>30</v>
      </c>
      <c r="C21" s="59" t="s">
        <v>31</v>
      </c>
      <c r="D21" s="59" t="s">
        <v>11</v>
      </c>
      <c r="E21" s="61" t="s">
        <v>9</v>
      </c>
      <c r="F21" s="60"/>
      <c r="G21" s="91">
        <f>SUM(G22:G23)</f>
        <v>1311.29101</v>
      </c>
      <c r="H21" s="91">
        <f>SUM(H22:H23)</f>
        <v>1311.29101</v>
      </c>
      <c r="I21" s="91">
        <f t="shared" si="0"/>
        <v>100</v>
      </c>
    </row>
    <row r="22" spans="1:9" s="4" customFormat="1" ht="45" customHeight="1" outlineLevel="3">
      <c r="A22" s="44" t="s">
        <v>100</v>
      </c>
      <c r="B22" s="59" t="s">
        <v>30</v>
      </c>
      <c r="C22" s="59" t="s">
        <v>31</v>
      </c>
      <c r="D22" s="59" t="s">
        <v>11</v>
      </c>
      <c r="E22" s="61" t="s">
        <v>9</v>
      </c>
      <c r="F22" s="60">
        <v>100</v>
      </c>
      <c r="G22" s="91">
        <f>1460.8-41-100+25.3-40+0.5+5.69101</f>
        <v>1311.29101</v>
      </c>
      <c r="H22" s="91">
        <f>1460.8-41-100+25.3-40+0.5+5.69101</f>
        <v>1311.29101</v>
      </c>
      <c r="I22" s="91">
        <f t="shared" si="0"/>
        <v>100</v>
      </c>
    </row>
    <row r="23" spans="1:9" s="4" customFormat="1" ht="24" outlineLevel="3">
      <c r="A23" s="44" t="s">
        <v>101</v>
      </c>
      <c r="B23" s="59" t="s">
        <v>30</v>
      </c>
      <c r="C23" s="59" t="s">
        <v>31</v>
      </c>
      <c r="D23" s="59" t="s">
        <v>11</v>
      </c>
      <c r="E23" s="61">
        <v>0</v>
      </c>
      <c r="F23" s="60">
        <v>200</v>
      </c>
      <c r="G23" s="91">
        <f>24.7+24.7-29.4-20</f>
        <v>0</v>
      </c>
      <c r="H23" s="91">
        <f>24.7+24.7-29.4-20</f>
        <v>0</v>
      </c>
      <c r="I23" s="91">
        <v>0</v>
      </c>
    </row>
    <row r="24" spans="1:9" s="4" customFormat="1" ht="24.75" customHeight="1" outlineLevel="3">
      <c r="A24" s="44" t="s">
        <v>151</v>
      </c>
      <c r="B24" s="59" t="s">
        <v>30</v>
      </c>
      <c r="C24" s="59" t="s">
        <v>31</v>
      </c>
      <c r="D24" s="59" t="s">
        <v>16</v>
      </c>
      <c r="E24" s="61">
        <v>0</v>
      </c>
      <c r="F24" s="60"/>
      <c r="G24" s="102">
        <f>SUM(G25)</f>
        <v>5</v>
      </c>
      <c r="H24" s="102">
        <f>SUM(H25)</f>
        <v>5</v>
      </c>
      <c r="I24" s="91">
        <f t="shared" si="0"/>
        <v>100</v>
      </c>
    </row>
    <row r="25" spans="1:9" s="4" customFormat="1" ht="15.75" outlineLevel="3">
      <c r="A25" s="44" t="s">
        <v>141</v>
      </c>
      <c r="B25" s="59" t="s">
        <v>30</v>
      </c>
      <c r="C25" s="59" t="s">
        <v>31</v>
      </c>
      <c r="D25" s="59" t="s">
        <v>16</v>
      </c>
      <c r="E25" s="61">
        <v>0</v>
      </c>
      <c r="F25" s="60">
        <v>800</v>
      </c>
      <c r="G25" s="91">
        <f>5.5-0.5</f>
        <v>5</v>
      </c>
      <c r="H25" s="91">
        <f>5.5-0.5</f>
        <v>5</v>
      </c>
      <c r="I25" s="91">
        <f t="shared" si="0"/>
        <v>100</v>
      </c>
    </row>
    <row r="26" spans="1:9" s="4" customFormat="1" ht="17.25" customHeight="1" outlineLevel="3">
      <c r="A26" s="44" t="s">
        <v>236</v>
      </c>
      <c r="B26" s="59" t="s">
        <v>39</v>
      </c>
      <c r="C26" s="59"/>
      <c r="D26" s="59"/>
      <c r="E26" s="61"/>
      <c r="F26" s="60"/>
      <c r="G26" s="91">
        <f>SUM(G27+G98+G103+G110+G133+G152+G156+G249+G281+G310+G323+G328+G332+G276)</f>
        <v>570897.5459499999</v>
      </c>
      <c r="H26" s="91">
        <f>SUM(H27+H98+H103+H110+H133+H152+H156+H249+H281+H310+H323+H328+H332+H276)</f>
        <v>567259.04486</v>
      </c>
      <c r="I26" s="91">
        <f t="shared" si="0"/>
        <v>99.36267004196957</v>
      </c>
    </row>
    <row r="27" spans="1:9" s="4" customFormat="1" ht="15.75" outlineLevel="3">
      <c r="A27" s="44" t="s">
        <v>99</v>
      </c>
      <c r="B27" s="59" t="s">
        <v>39</v>
      </c>
      <c r="C27" s="59" t="s">
        <v>41</v>
      </c>
      <c r="D27" s="59"/>
      <c r="E27" s="61"/>
      <c r="F27" s="60"/>
      <c r="G27" s="91">
        <f>SUM(G28+G31+G55+G59+G62+G51)</f>
        <v>79747.31658999999</v>
      </c>
      <c r="H27" s="91">
        <f>SUM(H28+H31+H55+H59+H62+H51)</f>
        <v>79619.29819999999</v>
      </c>
      <c r="I27" s="91">
        <f t="shared" si="0"/>
        <v>99.8394699715626</v>
      </c>
    </row>
    <row r="28" spans="1:9" s="4" customFormat="1" ht="24" outlineLevel="3">
      <c r="A28" s="44" t="s">
        <v>33</v>
      </c>
      <c r="B28" s="59" t="s">
        <v>39</v>
      </c>
      <c r="C28" s="59" t="s">
        <v>42</v>
      </c>
      <c r="D28" s="59"/>
      <c r="E28" s="61"/>
      <c r="F28" s="60"/>
      <c r="G28" s="91">
        <f>SUM(G30)</f>
        <v>1762.25885</v>
      </c>
      <c r="H28" s="91">
        <f>SUM(H30)</f>
        <v>1762.25885</v>
      </c>
      <c r="I28" s="91">
        <f t="shared" si="0"/>
        <v>100</v>
      </c>
    </row>
    <row r="29" spans="1:9" s="4" customFormat="1" ht="27.75" customHeight="1" outlineLevel="3">
      <c r="A29" s="44" t="s">
        <v>102</v>
      </c>
      <c r="B29" s="59" t="s">
        <v>39</v>
      </c>
      <c r="C29" s="59" t="s">
        <v>42</v>
      </c>
      <c r="D29" s="59" t="s">
        <v>11</v>
      </c>
      <c r="E29" s="61" t="s">
        <v>9</v>
      </c>
      <c r="F29" s="60"/>
      <c r="G29" s="91">
        <f>SUM(G30)</f>
        <v>1762.25885</v>
      </c>
      <c r="H29" s="91">
        <f>SUM(H30)</f>
        <v>1762.25885</v>
      </c>
      <c r="I29" s="91">
        <f t="shared" si="0"/>
        <v>100</v>
      </c>
    </row>
    <row r="30" spans="1:9" ht="48.75" customHeight="1" outlineLevel="1">
      <c r="A30" s="44" t="s">
        <v>100</v>
      </c>
      <c r="B30" s="59" t="s">
        <v>39</v>
      </c>
      <c r="C30" s="59" t="s">
        <v>42</v>
      </c>
      <c r="D30" s="59" t="s">
        <v>11</v>
      </c>
      <c r="E30" s="61">
        <v>0</v>
      </c>
      <c r="F30" s="60">
        <v>100</v>
      </c>
      <c r="G30" s="91">
        <f>1367.1+100+242.9+5.649+46.60985</f>
        <v>1762.25885</v>
      </c>
      <c r="H30" s="91">
        <f>1367.1+100+242.9+5.649+46.60985</f>
        <v>1762.25885</v>
      </c>
      <c r="I30" s="91">
        <f t="shared" si="0"/>
        <v>100</v>
      </c>
    </row>
    <row r="31" spans="1:9" ht="36.75" customHeight="1" outlineLevel="2">
      <c r="A31" s="45" t="s">
        <v>34</v>
      </c>
      <c r="B31" s="59" t="s">
        <v>39</v>
      </c>
      <c r="C31" s="59" t="s">
        <v>40</v>
      </c>
      <c r="D31" s="59"/>
      <c r="E31" s="61"/>
      <c r="F31" s="60"/>
      <c r="G31" s="91">
        <f>SUM(G32+G49)</f>
        <v>30000.460819999997</v>
      </c>
      <c r="H31" s="91">
        <f>SUM(H32+H49)</f>
        <v>30000.460819999997</v>
      </c>
      <c r="I31" s="91">
        <f t="shared" si="0"/>
        <v>100</v>
      </c>
    </row>
    <row r="32" spans="1:9" s="4" customFormat="1" ht="27" customHeight="1" outlineLevel="3">
      <c r="A32" s="44" t="s">
        <v>102</v>
      </c>
      <c r="B32" s="59" t="s">
        <v>39</v>
      </c>
      <c r="C32" s="59" t="s">
        <v>40</v>
      </c>
      <c r="D32" s="59" t="s">
        <v>11</v>
      </c>
      <c r="E32" s="61">
        <v>0</v>
      </c>
      <c r="F32" s="60"/>
      <c r="G32" s="91">
        <f>SUM(G33+G36)</f>
        <v>29947.539139999997</v>
      </c>
      <c r="H32" s="91">
        <f>SUM(H33+H36)</f>
        <v>29947.539139999997</v>
      </c>
      <c r="I32" s="91">
        <f t="shared" si="0"/>
        <v>100</v>
      </c>
    </row>
    <row r="33" spans="1:9" ht="15.75" outlineLevel="1">
      <c r="A33" s="45" t="s">
        <v>3</v>
      </c>
      <c r="B33" s="59" t="s">
        <v>39</v>
      </c>
      <c r="C33" s="59" t="s">
        <v>40</v>
      </c>
      <c r="D33" s="59" t="s">
        <v>11</v>
      </c>
      <c r="E33" s="61">
        <v>0</v>
      </c>
      <c r="F33" s="60"/>
      <c r="G33" s="91">
        <f>SUM(G34:G35)</f>
        <v>27935.43914</v>
      </c>
      <c r="H33" s="91">
        <f>SUM(H34:H35)</f>
        <v>27935.43914</v>
      </c>
      <c r="I33" s="91">
        <f t="shared" si="0"/>
        <v>100</v>
      </c>
    </row>
    <row r="34" spans="1:9" ht="49.5" customHeight="1" outlineLevel="2">
      <c r="A34" s="45" t="s">
        <v>100</v>
      </c>
      <c r="B34" s="59" t="s">
        <v>39</v>
      </c>
      <c r="C34" s="59" t="s">
        <v>40</v>
      </c>
      <c r="D34" s="59" t="s">
        <v>11</v>
      </c>
      <c r="E34" s="61">
        <v>0</v>
      </c>
      <c r="F34" s="60">
        <v>100</v>
      </c>
      <c r="G34" s="91">
        <f>24910+418-30-242.9-14.8+40+559.6+200+195.951+157.63712+20+0.005+40.27924-5.4-1.32-13.19691+0.24504+23.31268+6.42498</f>
        <v>26263.83815</v>
      </c>
      <c r="H34" s="91">
        <f>24910+418-30-242.9-14.8+40+559.6+200+195.951+157.63712+20+0.005+40.27924-5.4-1.32-13.19691+0.24504+23.31268+6.42498</f>
        <v>26263.83815</v>
      </c>
      <c r="I34" s="91">
        <f t="shared" si="0"/>
        <v>100</v>
      </c>
    </row>
    <row r="35" spans="1:9" ht="24">
      <c r="A35" s="45" t="s">
        <v>101</v>
      </c>
      <c r="B35" s="59" t="s">
        <v>39</v>
      </c>
      <c r="C35" s="59" t="s">
        <v>40</v>
      </c>
      <c r="D35" s="59" t="s">
        <v>11</v>
      </c>
      <c r="E35" s="61">
        <v>0</v>
      </c>
      <c r="F35" s="60">
        <v>200</v>
      </c>
      <c r="G35" s="91">
        <f>1540.9-10+25+1166.3-200+7.9+29.4+0.1-559.6-192.92105-112.16528-23.31268</f>
        <v>1671.6009900000001</v>
      </c>
      <c r="H35" s="91">
        <f>1540.9-10+25+1166.3-200+7.9+29.4+0.1-559.6-192.92105-112.16528-23.31268</f>
        <v>1671.6009900000001</v>
      </c>
      <c r="I35" s="91">
        <f t="shared" si="0"/>
        <v>100</v>
      </c>
    </row>
    <row r="36" spans="1:9" ht="23.25" customHeight="1" outlineLevel="2">
      <c r="A36" s="44" t="s">
        <v>102</v>
      </c>
      <c r="B36" s="59" t="s">
        <v>39</v>
      </c>
      <c r="C36" s="59" t="s">
        <v>40</v>
      </c>
      <c r="D36" s="59" t="s">
        <v>11</v>
      </c>
      <c r="E36" s="61" t="s">
        <v>9</v>
      </c>
      <c r="F36" s="60"/>
      <c r="G36" s="103">
        <f>SUM(G37+G40+G43+G46)</f>
        <v>2012.1</v>
      </c>
      <c r="H36" s="103">
        <f>SUM(H37+H40+H43+H46)</f>
        <v>2012.1</v>
      </c>
      <c r="I36" s="91">
        <f t="shared" si="0"/>
        <v>100</v>
      </c>
    </row>
    <row r="37" spans="1:9" ht="31.5" customHeight="1" outlineLevel="1">
      <c r="A37" s="44" t="s">
        <v>103</v>
      </c>
      <c r="B37" s="59" t="s">
        <v>39</v>
      </c>
      <c r="C37" s="59" t="s">
        <v>40</v>
      </c>
      <c r="D37" s="59" t="s">
        <v>11</v>
      </c>
      <c r="E37" s="61" t="s">
        <v>9</v>
      </c>
      <c r="F37" s="60"/>
      <c r="G37" s="91">
        <f>SUM(G38:G39)</f>
        <v>296.7</v>
      </c>
      <c r="H37" s="91">
        <f>SUM(H38:H39)</f>
        <v>296.7</v>
      </c>
      <c r="I37" s="91">
        <f t="shared" si="0"/>
        <v>100</v>
      </c>
    </row>
    <row r="38" spans="1:9" ht="42" customHeight="1" outlineLevel="5">
      <c r="A38" s="44" t="s">
        <v>100</v>
      </c>
      <c r="B38" s="59" t="s">
        <v>39</v>
      </c>
      <c r="C38" s="59" t="s">
        <v>40</v>
      </c>
      <c r="D38" s="59" t="s">
        <v>11</v>
      </c>
      <c r="E38" s="61" t="s">
        <v>9</v>
      </c>
      <c r="F38" s="60">
        <v>100</v>
      </c>
      <c r="G38" s="103">
        <f>297.3-0.3+11-11-0.3-5.247-24.13818</f>
        <v>267.31482</v>
      </c>
      <c r="H38" s="103">
        <f>297.3-0.3+11-11-0.3-5.247-24.13818</f>
        <v>267.31482</v>
      </c>
      <c r="I38" s="91">
        <f t="shared" si="0"/>
        <v>100</v>
      </c>
    </row>
    <row r="39" spans="1:9" ht="24" outlineLevel="5">
      <c r="A39" s="44" t="s">
        <v>101</v>
      </c>
      <c r="B39" s="59" t="s">
        <v>39</v>
      </c>
      <c r="C39" s="59" t="s">
        <v>40</v>
      </c>
      <c r="D39" s="59" t="s">
        <v>11</v>
      </c>
      <c r="E39" s="61" t="s">
        <v>9</v>
      </c>
      <c r="F39" s="60">
        <v>200</v>
      </c>
      <c r="G39" s="103">
        <f>81.8-81.8+5.247+24.13818</f>
        <v>29.38518</v>
      </c>
      <c r="H39" s="103">
        <f>81.8-81.8+5.247+24.13818</f>
        <v>29.38518</v>
      </c>
      <c r="I39" s="91">
        <f t="shared" si="0"/>
        <v>100</v>
      </c>
    </row>
    <row r="40" spans="1:9" ht="27" customHeight="1" outlineLevel="5">
      <c r="A40" s="44" t="s">
        <v>104</v>
      </c>
      <c r="B40" s="59" t="s">
        <v>39</v>
      </c>
      <c r="C40" s="59" t="s">
        <v>40</v>
      </c>
      <c r="D40" s="59" t="s">
        <v>11</v>
      </c>
      <c r="E40" s="61" t="s">
        <v>9</v>
      </c>
      <c r="F40" s="60"/>
      <c r="G40" s="91">
        <f>SUM(G41:G42)</f>
        <v>935.8</v>
      </c>
      <c r="H40" s="91">
        <f>SUM(H41:H42)</f>
        <v>935.8</v>
      </c>
      <c r="I40" s="91">
        <f t="shared" si="0"/>
        <v>100</v>
      </c>
    </row>
    <row r="41" spans="1:9" ht="47.25" customHeight="1" outlineLevel="2">
      <c r="A41" s="44" t="s">
        <v>100</v>
      </c>
      <c r="B41" s="59" t="s">
        <v>39</v>
      </c>
      <c r="C41" s="59" t="s">
        <v>40</v>
      </c>
      <c r="D41" s="59" t="s">
        <v>11</v>
      </c>
      <c r="E41" s="61" t="s">
        <v>9</v>
      </c>
      <c r="F41" s="60">
        <v>100</v>
      </c>
      <c r="G41" s="91">
        <f>700+75-108.1-15+13.67599+183.56151+13.08927+0.24738</f>
        <v>862.47415</v>
      </c>
      <c r="H41" s="91">
        <f>700+75-108.1-15+13.67599+183.56151+13.08927+0.24738</f>
        <v>862.47415</v>
      </c>
      <c r="I41" s="91">
        <f t="shared" si="0"/>
        <v>100</v>
      </c>
    </row>
    <row r="42" spans="1:9" ht="24" outlineLevel="4">
      <c r="A42" s="44" t="s">
        <v>101</v>
      </c>
      <c r="B42" s="59" t="s">
        <v>39</v>
      </c>
      <c r="C42" s="59" t="s">
        <v>40</v>
      </c>
      <c r="D42" s="59" t="s">
        <v>11</v>
      </c>
      <c r="E42" s="61" t="s">
        <v>9</v>
      </c>
      <c r="F42" s="60">
        <v>200</v>
      </c>
      <c r="G42" s="91">
        <f>303-28-75-200+15-13.67599+85.33849-13.08927-0.24738</f>
        <v>73.32584999999999</v>
      </c>
      <c r="H42" s="91">
        <f>303-28-75-200+15-13.67599+85.33849-13.08927-0.24738</f>
        <v>73.32584999999999</v>
      </c>
      <c r="I42" s="91">
        <f t="shared" si="0"/>
        <v>100</v>
      </c>
    </row>
    <row r="43" spans="1:9" s="16" customFormat="1" ht="33.75" customHeight="1" outlineLevel="5">
      <c r="A43" s="44" t="s">
        <v>221</v>
      </c>
      <c r="B43" s="59" t="s">
        <v>39</v>
      </c>
      <c r="C43" s="59" t="s">
        <v>40</v>
      </c>
      <c r="D43" s="59" t="s">
        <v>11</v>
      </c>
      <c r="E43" s="61" t="s">
        <v>9</v>
      </c>
      <c r="F43" s="60"/>
      <c r="G43" s="91">
        <f>SUM(G44:G45)</f>
        <v>315.8</v>
      </c>
      <c r="H43" s="91">
        <f>SUM(H44:H45)</f>
        <v>315.8</v>
      </c>
      <c r="I43" s="91">
        <f t="shared" si="0"/>
        <v>100</v>
      </c>
    </row>
    <row r="44" spans="1:9" ht="45" customHeight="1" outlineLevel="5">
      <c r="A44" s="44" t="s">
        <v>100</v>
      </c>
      <c r="B44" s="59" t="s">
        <v>39</v>
      </c>
      <c r="C44" s="59" t="s">
        <v>40</v>
      </c>
      <c r="D44" s="59" t="s">
        <v>11</v>
      </c>
      <c r="E44" s="61" t="s">
        <v>9</v>
      </c>
      <c r="F44" s="60">
        <v>100</v>
      </c>
      <c r="G44" s="103">
        <f>159+158.5-0.5-1.2</f>
        <v>315.8</v>
      </c>
      <c r="H44" s="103">
        <f>159+158.5-0.5-1.2</f>
        <v>315.8</v>
      </c>
      <c r="I44" s="91">
        <f t="shared" si="0"/>
        <v>100</v>
      </c>
    </row>
    <row r="45" spans="1:9" ht="24" hidden="1" outlineLevel="4">
      <c r="A45" s="44" t="s">
        <v>101</v>
      </c>
      <c r="B45" s="59" t="s">
        <v>39</v>
      </c>
      <c r="C45" s="59" t="s">
        <v>40</v>
      </c>
      <c r="D45" s="59" t="s">
        <v>11</v>
      </c>
      <c r="E45" s="61" t="s">
        <v>9</v>
      </c>
      <c r="F45" s="60">
        <v>200</v>
      </c>
      <c r="G45" s="103">
        <v>0</v>
      </c>
      <c r="H45" s="103">
        <v>0</v>
      </c>
      <c r="I45" s="91" t="e">
        <f t="shared" si="0"/>
        <v>#DIV/0!</v>
      </c>
    </row>
    <row r="46" spans="1:9" ht="39" customHeight="1" outlineLevel="5">
      <c r="A46" s="44" t="s">
        <v>229</v>
      </c>
      <c r="B46" s="59" t="s">
        <v>39</v>
      </c>
      <c r="C46" s="59" t="s">
        <v>40</v>
      </c>
      <c r="D46" s="59" t="s">
        <v>11</v>
      </c>
      <c r="E46" s="61" t="s">
        <v>9</v>
      </c>
      <c r="F46" s="60"/>
      <c r="G46" s="91">
        <f>SUM(G47:G48)</f>
        <v>463.79999999999995</v>
      </c>
      <c r="H46" s="91">
        <f>SUM(H47:H48)</f>
        <v>463.79999999999995</v>
      </c>
      <c r="I46" s="91">
        <f t="shared" si="0"/>
        <v>100</v>
      </c>
    </row>
    <row r="47" spans="1:9" ht="48" outlineLevel="5">
      <c r="A47" s="44" t="s">
        <v>100</v>
      </c>
      <c r="B47" s="59" t="s">
        <v>39</v>
      </c>
      <c r="C47" s="59" t="s">
        <v>40</v>
      </c>
      <c r="D47" s="59" t="s">
        <v>11</v>
      </c>
      <c r="E47" s="61" t="s">
        <v>9</v>
      </c>
      <c r="F47" s="60">
        <v>100</v>
      </c>
      <c r="G47" s="91">
        <f>53.174+21.26913</f>
        <v>74.44313</v>
      </c>
      <c r="H47" s="91">
        <f>53.174+21.26913</f>
        <v>74.44313</v>
      </c>
      <c r="I47" s="91">
        <f t="shared" si="0"/>
        <v>100</v>
      </c>
    </row>
    <row r="48" spans="1:9" ht="24" outlineLevel="5">
      <c r="A48" s="44" t="s">
        <v>101</v>
      </c>
      <c r="B48" s="59" t="s">
        <v>39</v>
      </c>
      <c r="C48" s="59" t="s">
        <v>40</v>
      </c>
      <c r="D48" s="59" t="s">
        <v>11</v>
      </c>
      <c r="E48" s="61" t="s">
        <v>9</v>
      </c>
      <c r="F48" s="60">
        <v>200</v>
      </c>
      <c r="G48" s="91">
        <f>439.8+0.9-31.874+1.8-21.26913</f>
        <v>389.35686999999996</v>
      </c>
      <c r="H48" s="91">
        <f>439.8+0.9-31.874+1.8-21.26913</f>
        <v>389.35686999999996</v>
      </c>
      <c r="I48" s="91">
        <f t="shared" si="0"/>
        <v>100</v>
      </c>
    </row>
    <row r="49" spans="1:9" ht="36" outlineLevel="2">
      <c r="A49" s="44" t="s">
        <v>246</v>
      </c>
      <c r="B49" s="59" t="s">
        <v>39</v>
      </c>
      <c r="C49" s="59" t="s">
        <v>40</v>
      </c>
      <c r="D49" s="59" t="s">
        <v>2</v>
      </c>
      <c r="E49" s="61">
        <v>0</v>
      </c>
      <c r="F49" s="60"/>
      <c r="G49" s="91">
        <f>SUM(G50)</f>
        <v>52.92168</v>
      </c>
      <c r="H49" s="91">
        <f>SUM(H50)</f>
        <v>52.92168</v>
      </c>
      <c r="I49" s="91">
        <f t="shared" si="0"/>
        <v>100</v>
      </c>
    </row>
    <row r="50" spans="1:9" ht="24" outlineLevel="2">
      <c r="A50" s="44" t="s">
        <v>101</v>
      </c>
      <c r="B50" s="59" t="s">
        <v>39</v>
      </c>
      <c r="C50" s="59" t="s">
        <v>40</v>
      </c>
      <c r="D50" s="59" t="s">
        <v>2</v>
      </c>
      <c r="E50" s="61">
        <v>0</v>
      </c>
      <c r="F50" s="60">
        <v>200</v>
      </c>
      <c r="G50" s="91">
        <f>50+2.92168</f>
        <v>52.92168</v>
      </c>
      <c r="H50" s="91">
        <f>50+2.92168</f>
        <v>52.92168</v>
      </c>
      <c r="I50" s="91">
        <f t="shared" si="0"/>
        <v>100</v>
      </c>
    </row>
    <row r="51" spans="1:9" ht="15.75" outlineLevel="2">
      <c r="A51" s="44" t="s">
        <v>35</v>
      </c>
      <c r="B51" s="59" t="s">
        <v>39</v>
      </c>
      <c r="C51" s="59" t="s">
        <v>43</v>
      </c>
      <c r="D51" s="59"/>
      <c r="E51" s="61"/>
      <c r="F51" s="60"/>
      <c r="G51" s="91">
        <f aca="true" t="shared" si="1" ref="G51:H53">SUM(G52)</f>
        <v>3.4</v>
      </c>
      <c r="H51" s="91">
        <f t="shared" si="1"/>
        <v>0</v>
      </c>
      <c r="I51" s="91">
        <f t="shared" si="0"/>
        <v>0</v>
      </c>
    </row>
    <row r="52" spans="1:9" ht="24" outlineLevel="2">
      <c r="A52" s="44" t="s">
        <v>195</v>
      </c>
      <c r="B52" s="59" t="s">
        <v>39</v>
      </c>
      <c r="C52" s="59" t="s">
        <v>43</v>
      </c>
      <c r="D52" s="59" t="s">
        <v>16</v>
      </c>
      <c r="E52" s="61">
        <v>0</v>
      </c>
      <c r="F52" s="60"/>
      <c r="G52" s="91">
        <f t="shared" si="1"/>
        <v>3.4</v>
      </c>
      <c r="H52" s="91">
        <f t="shared" si="1"/>
        <v>0</v>
      </c>
      <c r="I52" s="91">
        <f t="shared" si="0"/>
        <v>0</v>
      </c>
    </row>
    <row r="53" spans="1:9" ht="24" outlineLevel="2">
      <c r="A53" s="44" t="s">
        <v>151</v>
      </c>
      <c r="B53" s="59" t="s">
        <v>39</v>
      </c>
      <c r="C53" s="59" t="s">
        <v>43</v>
      </c>
      <c r="D53" s="59" t="s">
        <v>16</v>
      </c>
      <c r="E53" s="61">
        <v>0</v>
      </c>
      <c r="F53" s="60"/>
      <c r="G53" s="91">
        <f t="shared" si="1"/>
        <v>3.4</v>
      </c>
      <c r="H53" s="91">
        <f t="shared" si="1"/>
        <v>0</v>
      </c>
      <c r="I53" s="91">
        <f t="shared" si="0"/>
        <v>0</v>
      </c>
    </row>
    <row r="54" spans="1:9" ht="23.25" customHeight="1" outlineLevel="2">
      <c r="A54" s="44" t="s">
        <v>101</v>
      </c>
      <c r="B54" s="59" t="s">
        <v>39</v>
      </c>
      <c r="C54" s="59" t="s">
        <v>43</v>
      </c>
      <c r="D54" s="59" t="s">
        <v>16</v>
      </c>
      <c r="E54" s="61">
        <v>0</v>
      </c>
      <c r="F54" s="60">
        <v>200</v>
      </c>
      <c r="G54" s="91">
        <v>3.4</v>
      </c>
      <c r="H54" s="91">
        <v>0</v>
      </c>
      <c r="I54" s="91">
        <f t="shared" si="0"/>
        <v>0</v>
      </c>
    </row>
    <row r="55" spans="1:9" ht="15.75" hidden="1" outlineLevel="2">
      <c r="A55" s="44" t="s">
        <v>36</v>
      </c>
      <c r="B55" s="59" t="s">
        <v>39</v>
      </c>
      <c r="C55" s="59" t="s">
        <v>44</v>
      </c>
      <c r="D55" s="59"/>
      <c r="E55" s="61"/>
      <c r="F55" s="60"/>
      <c r="G55" s="91">
        <f>SUM(G56)</f>
        <v>0</v>
      </c>
      <c r="H55" s="91">
        <f>SUM(H56)</f>
        <v>0</v>
      </c>
      <c r="I55" s="91" t="e">
        <f t="shared" si="0"/>
        <v>#DIV/0!</v>
      </c>
    </row>
    <row r="56" spans="1:9" ht="15.75" hidden="1" outlineLevel="5">
      <c r="A56" s="44" t="s">
        <v>37</v>
      </c>
      <c r="B56" s="59" t="s">
        <v>39</v>
      </c>
      <c r="C56" s="59" t="s">
        <v>44</v>
      </c>
      <c r="D56" s="59" t="s">
        <v>16</v>
      </c>
      <c r="E56" s="61" t="s">
        <v>9</v>
      </c>
      <c r="F56" s="60"/>
      <c r="G56" s="91">
        <f>SUM(G57)</f>
        <v>0</v>
      </c>
      <c r="H56" s="91">
        <f>SUM(H57)</f>
        <v>0</v>
      </c>
      <c r="I56" s="91" t="e">
        <f t="shared" si="0"/>
        <v>#DIV/0!</v>
      </c>
    </row>
    <row r="57" spans="1:9" ht="24" hidden="1" outlineLevel="2">
      <c r="A57" s="44" t="s">
        <v>151</v>
      </c>
      <c r="B57" s="59" t="s">
        <v>39</v>
      </c>
      <c r="C57" s="59" t="s">
        <v>44</v>
      </c>
      <c r="D57" s="59" t="s">
        <v>16</v>
      </c>
      <c r="E57" s="61" t="s">
        <v>9</v>
      </c>
      <c r="F57" s="60"/>
      <c r="G57" s="91">
        <f aca="true" t="shared" si="2" ref="G57:H60">SUM(G58)</f>
        <v>0</v>
      </c>
      <c r="H57" s="91">
        <f t="shared" si="2"/>
        <v>0</v>
      </c>
      <c r="I57" s="91" t="e">
        <f t="shared" si="0"/>
        <v>#DIV/0!</v>
      </c>
    </row>
    <row r="58" spans="1:9" ht="24" hidden="1" outlineLevel="5">
      <c r="A58" s="44" t="s">
        <v>101</v>
      </c>
      <c r="B58" s="59" t="s">
        <v>39</v>
      </c>
      <c r="C58" s="59" t="s">
        <v>44</v>
      </c>
      <c r="D58" s="59" t="s">
        <v>16</v>
      </c>
      <c r="E58" s="61">
        <v>0</v>
      </c>
      <c r="F58" s="60">
        <v>200</v>
      </c>
      <c r="G58" s="91">
        <v>0</v>
      </c>
      <c r="H58" s="91">
        <v>0</v>
      </c>
      <c r="I58" s="91" t="e">
        <f t="shared" si="0"/>
        <v>#DIV/0!</v>
      </c>
    </row>
    <row r="59" spans="1:9" ht="15.75" outlineLevel="1">
      <c r="A59" s="44" t="s">
        <v>38</v>
      </c>
      <c r="B59" s="59" t="s">
        <v>39</v>
      </c>
      <c r="C59" s="59" t="s">
        <v>45</v>
      </c>
      <c r="D59" s="59"/>
      <c r="E59" s="61"/>
      <c r="F59" s="60"/>
      <c r="G59" s="91">
        <f t="shared" si="2"/>
        <v>0</v>
      </c>
      <c r="H59" s="91">
        <f t="shared" si="2"/>
        <v>0</v>
      </c>
      <c r="I59" s="91">
        <v>0</v>
      </c>
    </row>
    <row r="60" spans="1:9" ht="29.25" customHeight="1" outlineLevel="2">
      <c r="A60" s="44" t="s">
        <v>151</v>
      </c>
      <c r="B60" s="59" t="s">
        <v>39</v>
      </c>
      <c r="C60" s="59" t="s">
        <v>45</v>
      </c>
      <c r="D60" s="59" t="s">
        <v>16</v>
      </c>
      <c r="E60" s="61" t="s">
        <v>9</v>
      </c>
      <c r="F60" s="60"/>
      <c r="G60" s="91">
        <f t="shared" si="2"/>
        <v>0</v>
      </c>
      <c r="H60" s="91">
        <f t="shared" si="2"/>
        <v>0</v>
      </c>
      <c r="I60" s="91">
        <v>0</v>
      </c>
    </row>
    <row r="61" spans="1:9" ht="15.75" outlineLevel="2">
      <c r="A61" s="44" t="s">
        <v>141</v>
      </c>
      <c r="B61" s="59" t="s">
        <v>39</v>
      </c>
      <c r="C61" s="59" t="s">
        <v>45</v>
      </c>
      <c r="D61" s="59" t="s">
        <v>16</v>
      </c>
      <c r="E61" s="61" t="s">
        <v>9</v>
      </c>
      <c r="F61" s="60">
        <v>800</v>
      </c>
      <c r="G61" s="91">
        <f>320-93-227</f>
        <v>0</v>
      </c>
      <c r="H61" s="91">
        <f>320-93-227</f>
        <v>0</v>
      </c>
      <c r="I61" s="91">
        <v>0</v>
      </c>
    </row>
    <row r="62" spans="1:9" ht="15.75" outlineLevel="2">
      <c r="A62" s="44" t="s">
        <v>46</v>
      </c>
      <c r="B62" s="59" t="s">
        <v>39</v>
      </c>
      <c r="C62" s="59" t="s">
        <v>29</v>
      </c>
      <c r="D62" s="59"/>
      <c r="E62" s="61"/>
      <c r="F62" s="60"/>
      <c r="G62" s="91">
        <f>SUM(G63+G70+G79+G82+G86+G89+G97+G77+G68+G75+G94)</f>
        <v>47981.19692</v>
      </c>
      <c r="H62" s="91">
        <f>SUM(H63+H70+H79+H82+H86+H89+H97+H77+H68+H75+H94)</f>
        <v>47856.57853</v>
      </c>
      <c r="I62" s="91">
        <f t="shared" si="0"/>
        <v>99.74027661250764</v>
      </c>
    </row>
    <row r="63" spans="1:9" ht="36" outlineLevel="2">
      <c r="A63" s="44" t="s">
        <v>257</v>
      </c>
      <c r="B63" s="59" t="s">
        <v>39</v>
      </c>
      <c r="C63" s="59" t="s">
        <v>29</v>
      </c>
      <c r="D63" s="59" t="s">
        <v>6</v>
      </c>
      <c r="E63" s="61">
        <v>0</v>
      </c>
      <c r="F63" s="60"/>
      <c r="G63" s="91">
        <f>SUM(G66+G64)</f>
        <v>180.16482</v>
      </c>
      <c r="H63" s="91">
        <f>SUM(H66+H64)</f>
        <v>180.16482</v>
      </c>
      <c r="I63" s="91">
        <f t="shared" si="0"/>
        <v>100</v>
      </c>
    </row>
    <row r="64" spans="1:9" ht="24" hidden="1" outlineLevel="2">
      <c r="A64" s="44" t="s">
        <v>199</v>
      </c>
      <c r="B64" s="59" t="s">
        <v>39</v>
      </c>
      <c r="C64" s="59" t="s">
        <v>29</v>
      </c>
      <c r="D64" s="59" t="s">
        <v>6</v>
      </c>
      <c r="E64" s="61">
        <v>3</v>
      </c>
      <c r="F64" s="60"/>
      <c r="G64" s="91">
        <f>SUM(G65:G65)</f>
        <v>0</v>
      </c>
      <c r="H64" s="91">
        <f>SUM(H65:H65)</f>
        <v>0</v>
      </c>
      <c r="I64" s="91" t="e">
        <f t="shared" si="0"/>
        <v>#DIV/0!</v>
      </c>
    </row>
    <row r="65" spans="1:9" ht="24" hidden="1" outlineLevel="2">
      <c r="A65" s="44" t="s">
        <v>152</v>
      </c>
      <c r="B65" s="59" t="s">
        <v>39</v>
      </c>
      <c r="C65" s="59" t="s">
        <v>29</v>
      </c>
      <c r="D65" s="59" t="s">
        <v>6</v>
      </c>
      <c r="E65" s="61">
        <v>3</v>
      </c>
      <c r="F65" s="60">
        <v>600</v>
      </c>
      <c r="G65" s="91">
        <v>0</v>
      </c>
      <c r="H65" s="91">
        <v>0</v>
      </c>
      <c r="I65" s="91" t="e">
        <f t="shared" si="0"/>
        <v>#DIV/0!</v>
      </c>
    </row>
    <row r="66" spans="1:9" ht="24" outlineLevel="2">
      <c r="A66" s="44" t="s">
        <v>182</v>
      </c>
      <c r="B66" s="59" t="s">
        <v>39</v>
      </c>
      <c r="C66" s="59" t="s">
        <v>29</v>
      </c>
      <c r="D66" s="59" t="s">
        <v>6</v>
      </c>
      <c r="E66" s="61">
        <v>4</v>
      </c>
      <c r="F66" s="60"/>
      <c r="G66" s="91">
        <f>SUM(G67)</f>
        <v>180.16482</v>
      </c>
      <c r="H66" s="91">
        <f>SUM(H67)</f>
        <v>180.16482</v>
      </c>
      <c r="I66" s="91">
        <f t="shared" si="0"/>
        <v>100</v>
      </c>
    </row>
    <row r="67" spans="1:9" ht="24" customHeight="1" outlineLevel="2">
      <c r="A67" s="44" t="s">
        <v>152</v>
      </c>
      <c r="B67" s="59" t="s">
        <v>39</v>
      </c>
      <c r="C67" s="59" t="s">
        <v>29</v>
      </c>
      <c r="D67" s="59" t="s">
        <v>6</v>
      </c>
      <c r="E67" s="61">
        <v>4</v>
      </c>
      <c r="F67" s="60">
        <v>600</v>
      </c>
      <c r="G67" s="91">
        <f>150+23.16482+6+1</f>
        <v>180.16482</v>
      </c>
      <c r="H67" s="91">
        <f>150+23.16482+6+1</f>
        <v>180.16482</v>
      </c>
      <c r="I67" s="91">
        <f t="shared" si="0"/>
        <v>100</v>
      </c>
    </row>
    <row r="68" spans="1:9" ht="15.75" outlineLevel="2">
      <c r="A68" s="44" t="s">
        <v>243</v>
      </c>
      <c r="B68" s="59" t="s">
        <v>39</v>
      </c>
      <c r="C68" s="59" t="s">
        <v>29</v>
      </c>
      <c r="D68" s="59" t="s">
        <v>10</v>
      </c>
      <c r="E68" s="61">
        <v>0</v>
      </c>
      <c r="F68" s="60"/>
      <c r="G68" s="91">
        <f>SUM(G69)</f>
        <v>133.911</v>
      </c>
      <c r="H68" s="91">
        <f>SUM(H69)</f>
        <v>133.911</v>
      </c>
      <c r="I68" s="91">
        <f t="shared" si="0"/>
        <v>100</v>
      </c>
    </row>
    <row r="69" spans="1:9" ht="24" outlineLevel="2">
      <c r="A69" s="44" t="s">
        <v>101</v>
      </c>
      <c r="B69" s="59" t="s">
        <v>39</v>
      </c>
      <c r="C69" s="59" t="s">
        <v>29</v>
      </c>
      <c r="D69" s="59" t="s">
        <v>10</v>
      </c>
      <c r="E69" s="61">
        <v>0</v>
      </c>
      <c r="F69" s="60">
        <v>200</v>
      </c>
      <c r="G69" s="91">
        <f>100+55-21.089</f>
        <v>133.911</v>
      </c>
      <c r="H69" s="91">
        <f>100+55-21.089</f>
        <v>133.911</v>
      </c>
      <c r="I69" s="91">
        <f t="shared" si="0"/>
        <v>100</v>
      </c>
    </row>
    <row r="70" spans="1:9" ht="37.5" customHeight="1" outlineLevel="2">
      <c r="A70" s="44" t="s">
        <v>247</v>
      </c>
      <c r="B70" s="59" t="s">
        <v>39</v>
      </c>
      <c r="C70" s="59" t="s">
        <v>29</v>
      </c>
      <c r="D70" s="59" t="s">
        <v>148</v>
      </c>
      <c r="E70" s="61">
        <v>0</v>
      </c>
      <c r="F70" s="60"/>
      <c r="G70" s="91">
        <f>SUM(G71+G73)</f>
        <v>0</v>
      </c>
      <c r="H70" s="91">
        <f>SUM(H71+H73)</f>
        <v>0</v>
      </c>
      <c r="I70" s="91">
        <v>0</v>
      </c>
    </row>
    <row r="71" spans="1:9" ht="20.25" customHeight="1" outlineLevel="2">
      <c r="A71" s="44" t="s">
        <v>263</v>
      </c>
      <c r="B71" s="59" t="s">
        <v>39</v>
      </c>
      <c r="C71" s="59" t="s">
        <v>29</v>
      </c>
      <c r="D71" s="59" t="s">
        <v>148</v>
      </c>
      <c r="E71" s="61">
        <v>1</v>
      </c>
      <c r="F71" s="60"/>
      <c r="G71" s="91">
        <f>SUM(G72)</f>
        <v>0</v>
      </c>
      <c r="H71" s="91">
        <f>SUM(H72)</f>
        <v>0</v>
      </c>
      <c r="I71" s="91">
        <v>0</v>
      </c>
    </row>
    <row r="72" spans="1:9" ht="24" outlineLevel="2">
      <c r="A72" s="44" t="s">
        <v>101</v>
      </c>
      <c r="B72" s="59" t="s">
        <v>39</v>
      </c>
      <c r="C72" s="59" t="s">
        <v>29</v>
      </c>
      <c r="D72" s="59" t="s">
        <v>148</v>
      </c>
      <c r="E72" s="61">
        <v>1</v>
      </c>
      <c r="F72" s="60">
        <v>200</v>
      </c>
      <c r="G72" s="91">
        <f>50-15-35</f>
        <v>0</v>
      </c>
      <c r="H72" s="91">
        <f>50-15-35</f>
        <v>0</v>
      </c>
      <c r="I72" s="91">
        <v>0</v>
      </c>
    </row>
    <row r="73" spans="1:9" ht="24" outlineLevel="2">
      <c r="A73" s="44" t="s">
        <v>264</v>
      </c>
      <c r="B73" s="59" t="s">
        <v>39</v>
      </c>
      <c r="C73" s="59" t="s">
        <v>29</v>
      </c>
      <c r="D73" s="59" t="s">
        <v>148</v>
      </c>
      <c r="E73" s="61">
        <v>2</v>
      </c>
      <c r="F73" s="60"/>
      <c r="G73" s="91">
        <f>SUM(G74)</f>
        <v>0</v>
      </c>
      <c r="H73" s="91">
        <f>SUM(H74)</f>
        <v>0</v>
      </c>
      <c r="I73" s="91">
        <v>0</v>
      </c>
    </row>
    <row r="74" spans="1:9" ht="24" outlineLevel="2">
      <c r="A74" s="44" t="s">
        <v>101</v>
      </c>
      <c r="B74" s="59" t="s">
        <v>39</v>
      </c>
      <c r="C74" s="59" t="s">
        <v>29</v>
      </c>
      <c r="D74" s="59" t="s">
        <v>148</v>
      </c>
      <c r="E74" s="61">
        <v>2</v>
      </c>
      <c r="F74" s="60">
        <v>200</v>
      </c>
      <c r="G74" s="91">
        <f>15-15</f>
        <v>0</v>
      </c>
      <c r="H74" s="91">
        <f>15-15</f>
        <v>0</v>
      </c>
      <c r="I74" s="91">
        <v>0</v>
      </c>
    </row>
    <row r="75" spans="1:9" ht="24" hidden="1" outlineLevel="2">
      <c r="A75" s="58" t="s">
        <v>216</v>
      </c>
      <c r="B75" s="59" t="s">
        <v>39</v>
      </c>
      <c r="C75" s="59" t="s">
        <v>29</v>
      </c>
      <c r="D75" s="59" t="s">
        <v>215</v>
      </c>
      <c r="E75" s="61">
        <v>0</v>
      </c>
      <c r="F75" s="60"/>
      <c r="G75" s="91">
        <f>SUM(G76)</f>
        <v>0</v>
      </c>
      <c r="H75" s="91">
        <f>SUM(H76)</f>
        <v>0</v>
      </c>
      <c r="I75" s="91" t="e">
        <f aca="true" t="shared" si="3" ref="I75:I137">SUM(H75/G75)*100</f>
        <v>#DIV/0!</v>
      </c>
    </row>
    <row r="76" spans="1:9" ht="24" hidden="1" outlineLevel="2">
      <c r="A76" s="58" t="s">
        <v>101</v>
      </c>
      <c r="B76" s="59" t="s">
        <v>39</v>
      </c>
      <c r="C76" s="59" t="s">
        <v>29</v>
      </c>
      <c r="D76" s="59" t="s">
        <v>215</v>
      </c>
      <c r="E76" s="61">
        <v>0</v>
      </c>
      <c r="F76" s="60">
        <v>200</v>
      </c>
      <c r="G76" s="91">
        <v>0</v>
      </c>
      <c r="H76" s="91">
        <v>0</v>
      </c>
      <c r="I76" s="91" t="e">
        <f t="shared" si="3"/>
        <v>#DIV/0!</v>
      </c>
    </row>
    <row r="77" spans="1:9" ht="35.25" customHeight="1" outlineLevel="2">
      <c r="A77" s="44" t="s">
        <v>249</v>
      </c>
      <c r="B77" s="59" t="s">
        <v>39</v>
      </c>
      <c r="C77" s="59" t="s">
        <v>29</v>
      </c>
      <c r="D77" s="59" t="s">
        <v>180</v>
      </c>
      <c r="E77" s="61">
        <v>0</v>
      </c>
      <c r="F77" s="60"/>
      <c r="G77" s="91">
        <f>SUM(G78)</f>
        <v>0</v>
      </c>
      <c r="H77" s="91">
        <f>SUM(H78)</f>
        <v>0</v>
      </c>
      <c r="I77" s="91">
        <v>0</v>
      </c>
    </row>
    <row r="78" spans="1:9" ht="24" outlineLevel="2">
      <c r="A78" s="44" t="s">
        <v>101</v>
      </c>
      <c r="B78" s="59" t="s">
        <v>39</v>
      </c>
      <c r="C78" s="59" t="s">
        <v>29</v>
      </c>
      <c r="D78" s="59" t="s">
        <v>180</v>
      </c>
      <c r="E78" s="61">
        <v>0</v>
      </c>
      <c r="F78" s="60">
        <v>200</v>
      </c>
      <c r="G78" s="91">
        <f>50-50</f>
        <v>0</v>
      </c>
      <c r="H78" s="91">
        <f>50-50</f>
        <v>0</v>
      </c>
      <c r="I78" s="91">
        <v>0</v>
      </c>
    </row>
    <row r="79" spans="1:9" ht="51" customHeight="1" outlineLevel="2">
      <c r="A79" s="44" t="s">
        <v>253</v>
      </c>
      <c r="B79" s="59" t="s">
        <v>39</v>
      </c>
      <c r="C79" s="59" t="s">
        <v>29</v>
      </c>
      <c r="D79" s="59" t="s">
        <v>14</v>
      </c>
      <c r="E79" s="61">
        <v>0</v>
      </c>
      <c r="F79" s="60"/>
      <c r="G79" s="91">
        <f>SUM(G80:G81)</f>
        <v>45027.06622</v>
      </c>
      <c r="H79" s="91">
        <f>SUM(H80:H81)</f>
        <v>45027.06622</v>
      </c>
      <c r="I79" s="91">
        <f t="shared" si="3"/>
        <v>100</v>
      </c>
    </row>
    <row r="80" spans="1:9" ht="23.25" customHeight="1" outlineLevel="2">
      <c r="A80" s="44" t="s">
        <v>152</v>
      </c>
      <c r="B80" s="59" t="s">
        <v>39</v>
      </c>
      <c r="C80" s="59" t="s">
        <v>29</v>
      </c>
      <c r="D80" s="59" t="s">
        <v>14</v>
      </c>
      <c r="E80" s="61">
        <v>0</v>
      </c>
      <c r="F80" s="60">
        <v>600</v>
      </c>
      <c r="G80" s="91">
        <f>20000+4000+6000+4000+4000+2000+303.64265+1000+1000+100+798.96349+18.64+516.23599+466.18545</f>
        <v>44203.66758</v>
      </c>
      <c r="H80" s="91">
        <f>20000+4000+6000+4000+4000+2000+303.64265+1000+1000+100+798.96349+18.64+516.23599+466.18545</f>
        <v>44203.66758</v>
      </c>
      <c r="I80" s="91">
        <f t="shared" si="3"/>
        <v>100</v>
      </c>
    </row>
    <row r="81" spans="1:9" ht="35.25" customHeight="1" outlineLevel="2">
      <c r="A81" s="44" t="s">
        <v>296</v>
      </c>
      <c r="B81" s="59" t="s">
        <v>39</v>
      </c>
      <c r="C81" s="59" t="s">
        <v>29</v>
      </c>
      <c r="D81" s="59" t="s">
        <v>14</v>
      </c>
      <c r="E81" s="61">
        <v>0</v>
      </c>
      <c r="F81" s="60">
        <v>600</v>
      </c>
      <c r="G81" s="91">
        <f>1020-110-1.40577-85.19559</f>
        <v>823.39864</v>
      </c>
      <c r="H81" s="91">
        <f>1020-110-1.40577-85.19559</f>
        <v>823.39864</v>
      </c>
      <c r="I81" s="91">
        <f t="shared" si="3"/>
        <v>100</v>
      </c>
    </row>
    <row r="82" spans="1:9" ht="15.75" outlineLevel="2">
      <c r="A82" s="44" t="s">
        <v>228</v>
      </c>
      <c r="B82" s="59" t="s">
        <v>39</v>
      </c>
      <c r="C82" s="59" t="s">
        <v>29</v>
      </c>
      <c r="D82" s="59"/>
      <c r="E82" s="61"/>
      <c r="F82" s="60"/>
      <c r="G82" s="91">
        <f>SUM(G83)</f>
        <v>1163.8999999999999</v>
      </c>
      <c r="H82" s="91">
        <f>SUM(H83)</f>
        <v>1163.8999999999999</v>
      </c>
      <c r="I82" s="91">
        <f t="shared" si="3"/>
        <v>100</v>
      </c>
    </row>
    <row r="83" spans="1:9" ht="26.25" customHeight="1" outlineLevel="2">
      <c r="A83" s="44" t="s">
        <v>102</v>
      </c>
      <c r="B83" s="59" t="s">
        <v>39</v>
      </c>
      <c r="C83" s="59" t="s">
        <v>29</v>
      </c>
      <c r="D83" s="59" t="s">
        <v>11</v>
      </c>
      <c r="E83" s="61">
        <v>0</v>
      </c>
      <c r="F83" s="60"/>
      <c r="G83" s="91">
        <f>SUM(G84:G85)</f>
        <v>1163.8999999999999</v>
      </c>
      <c r="H83" s="91">
        <f>SUM(H84:H85)</f>
        <v>1163.8999999999999</v>
      </c>
      <c r="I83" s="91">
        <f t="shared" si="3"/>
        <v>100</v>
      </c>
    </row>
    <row r="84" spans="1:9" ht="50.25" customHeight="1" outlineLevel="2">
      <c r="A84" s="44" t="s">
        <v>100</v>
      </c>
      <c r="B84" s="59" t="s">
        <v>39</v>
      </c>
      <c r="C84" s="59" t="s">
        <v>29</v>
      </c>
      <c r="D84" s="59" t="s">
        <v>11</v>
      </c>
      <c r="E84" s="61" t="s">
        <v>9</v>
      </c>
      <c r="F84" s="60">
        <v>100</v>
      </c>
      <c r="G84" s="91">
        <f>941.7+21.2+27.3+24.4+0.9812</f>
        <v>1015.5812</v>
      </c>
      <c r="H84" s="91">
        <f>941.7+21.2+27.3+24.4+0.9812</f>
        <v>1015.5812</v>
      </c>
      <c r="I84" s="91">
        <f t="shared" si="3"/>
        <v>100</v>
      </c>
    </row>
    <row r="85" spans="1:9" ht="24" outlineLevel="2">
      <c r="A85" s="44" t="s">
        <v>101</v>
      </c>
      <c r="B85" s="59" t="s">
        <v>39</v>
      </c>
      <c r="C85" s="59" t="s">
        <v>29</v>
      </c>
      <c r="D85" s="59" t="s">
        <v>11</v>
      </c>
      <c r="E85" s="61" t="s">
        <v>9</v>
      </c>
      <c r="F85" s="60">
        <v>200</v>
      </c>
      <c r="G85" s="91">
        <f>217.2-40.6-27.3-0.9812</f>
        <v>148.31879999999998</v>
      </c>
      <c r="H85" s="91">
        <f>217.2-40.6-27.3-0.9812</f>
        <v>148.31879999999998</v>
      </c>
      <c r="I85" s="91">
        <f t="shared" si="3"/>
        <v>100</v>
      </c>
    </row>
    <row r="86" spans="1:9" ht="27.75" customHeight="1" outlineLevel="2">
      <c r="A86" s="44" t="s">
        <v>223</v>
      </c>
      <c r="B86" s="59" t="s">
        <v>39</v>
      </c>
      <c r="C86" s="59" t="s">
        <v>29</v>
      </c>
      <c r="D86" s="59" t="s">
        <v>16</v>
      </c>
      <c r="E86" s="61">
        <v>0</v>
      </c>
      <c r="F86" s="60"/>
      <c r="G86" s="91">
        <f>SUM(G87)</f>
        <v>6.599999999999994</v>
      </c>
      <c r="H86" s="91">
        <f>SUM(H87)</f>
        <v>6.599999999999994</v>
      </c>
      <c r="I86" s="91">
        <f t="shared" si="3"/>
        <v>100</v>
      </c>
    </row>
    <row r="87" spans="1:9" ht="25.5" customHeight="1" outlineLevel="2">
      <c r="A87" s="44" t="s">
        <v>151</v>
      </c>
      <c r="B87" s="59" t="s">
        <v>39</v>
      </c>
      <c r="C87" s="59" t="s">
        <v>29</v>
      </c>
      <c r="D87" s="59" t="s">
        <v>16</v>
      </c>
      <c r="E87" s="61" t="s">
        <v>9</v>
      </c>
      <c r="F87" s="60"/>
      <c r="G87" s="91">
        <f>SUM(G88)</f>
        <v>6.599999999999994</v>
      </c>
      <c r="H87" s="91">
        <f>SUM(H88)</f>
        <v>6.599999999999994</v>
      </c>
      <c r="I87" s="91">
        <f t="shared" si="3"/>
        <v>100</v>
      </c>
    </row>
    <row r="88" spans="1:9" ht="24" outlineLevel="5">
      <c r="A88" s="44" t="s">
        <v>101</v>
      </c>
      <c r="B88" s="59" t="s">
        <v>39</v>
      </c>
      <c r="C88" s="59" t="s">
        <v>29</v>
      </c>
      <c r="D88" s="59" t="s">
        <v>16</v>
      </c>
      <c r="E88" s="61" t="s">
        <v>9</v>
      </c>
      <c r="F88" s="60">
        <v>200</v>
      </c>
      <c r="G88" s="91">
        <f>100-93.4</f>
        <v>6.599999999999994</v>
      </c>
      <c r="H88" s="91">
        <f>100-93.4</f>
        <v>6.599999999999994</v>
      </c>
      <c r="I88" s="91">
        <f t="shared" si="3"/>
        <v>100</v>
      </c>
    </row>
    <row r="89" spans="1:9" ht="24" outlineLevel="5">
      <c r="A89" s="44" t="s">
        <v>222</v>
      </c>
      <c r="B89" s="59" t="s">
        <v>39</v>
      </c>
      <c r="C89" s="59" t="s">
        <v>29</v>
      </c>
      <c r="D89" s="59" t="s">
        <v>16</v>
      </c>
      <c r="E89" s="61">
        <v>0</v>
      </c>
      <c r="F89" s="60"/>
      <c r="G89" s="91">
        <f>SUM(G90)</f>
        <v>1205.9777800000002</v>
      </c>
      <c r="H89" s="91">
        <f>SUM(H90)</f>
        <v>1176.41568</v>
      </c>
      <c r="I89" s="91">
        <f t="shared" si="3"/>
        <v>97.54870276299783</v>
      </c>
    </row>
    <row r="90" spans="1:9" ht="24.75" customHeight="1" outlineLevel="5">
      <c r="A90" s="44" t="s">
        <v>151</v>
      </c>
      <c r="B90" s="59" t="s">
        <v>39</v>
      </c>
      <c r="C90" s="59" t="s">
        <v>29</v>
      </c>
      <c r="D90" s="59" t="s">
        <v>16</v>
      </c>
      <c r="E90" s="61" t="s">
        <v>9</v>
      </c>
      <c r="F90" s="60"/>
      <c r="G90" s="91">
        <f>SUM(G91:G93)</f>
        <v>1205.9777800000002</v>
      </c>
      <c r="H90" s="91">
        <f>SUM(H91:H93)</f>
        <v>1176.41568</v>
      </c>
      <c r="I90" s="91">
        <f t="shared" si="3"/>
        <v>97.54870276299783</v>
      </c>
    </row>
    <row r="91" spans="1:9" ht="24" outlineLevel="5">
      <c r="A91" s="44" t="s">
        <v>101</v>
      </c>
      <c r="B91" s="59" t="s">
        <v>39</v>
      </c>
      <c r="C91" s="59" t="s">
        <v>29</v>
      </c>
      <c r="D91" s="59" t="s">
        <v>16</v>
      </c>
      <c r="E91" s="61">
        <v>0</v>
      </c>
      <c r="F91" s="60">
        <v>200</v>
      </c>
      <c r="G91" s="91">
        <f>730.6-705.8+60-58.5+451.9+500.42194+486.4-285.6-68.41152-19.18163-241.6-275-100+34.29799+36.7-47.578-2.07-36.7-2.92168-96.229-0.95669-1.2705-7.73159-31.52033-3</f>
        <v>316.24899000000016</v>
      </c>
      <c r="H91" s="91">
        <v>316.24899</v>
      </c>
      <c r="I91" s="91">
        <f t="shared" si="3"/>
        <v>99.99999999999994</v>
      </c>
    </row>
    <row r="92" spans="1:9" ht="36" outlineLevel="5">
      <c r="A92" s="44" t="s">
        <v>334</v>
      </c>
      <c r="B92" s="59" t="s">
        <v>39</v>
      </c>
      <c r="C92" s="59" t="s">
        <v>29</v>
      </c>
      <c r="D92" s="59" t="s">
        <v>16</v>
      </c>
      <c r="E92" s="61">
        <v>0</v>
      </c>
      <c r="F92" s="60">
        <v>200</v>
      </c>
      <c r="G92" s="91">
        <f>205+2.07-0.2979</f>
        <v>206.7721</v>
      </c>
      <c r="H92" s="91">
        <v>177.21</v>
      </c>
      <c r="I92" s="91">
        <f t="shared" si="3"/>
        <v>85.70305181405035</v>
      </c>
    </row>
    <row r="93" spans="1:9" ht="15.75" outlineLevel="5">
      <c r="A93" s="44" t="s">
        <v>141</v>
      </c>
      <c r="B93" s="59" t="s">
        <v>39</v>
      </c>
      <c r="C93" s="59" t="s">
        <v>29</v>
      </c>
      <c r="D93" s="59" t="s">
        <v>16</v>
      </c>
      <c r="E93" s="61">
        <v>0</v>
      </c>
      <c r="F93" s="60">
        <v>800</v>
      </c>
      <c r="G93" s="91">
        <f>155-100+100+1288-12-245.229-503.771+0.95669</f>
        <v>682.95669</v>
      </c>
      <c r="H93" s="91">
        <f>155-100+100+1288-12-245.229-503.771+0.95669</f>
        <v>682.95669</v>
      </c>
      <c r="I93" s="91">
        <f t="shared" si="3"/>
        <v>100</v>
      </c>
    </row>
    <row r="94" spans="1:9" ht="24" outlineLevel="5">
      <c r="A94" s="44" t="s">
        <v>330</v>
      </c>
      <c r="B94" s="59" t="s">
        <v>39</v>
      </c>
      <c r="C94" s="59" t="s">
        <v>29</v>
      </c>
      <c r="D94" s="59" t="s">
        <v>16</v>
      </c>
      <c r="E94" s="61">
        <v>0</v>
      </c>
      <c r="F94" s="60"/>
      <c r="G94" s="91">
        <f>SUM(G95)</f>
        <v>263.57710000000003</v>
      </c>
      <c r="H94" s="91">
        <f>SUM(H95)</f>
        <v>168.52081</v>
      </c>
      <c r="I94" s="91">
        <f t="shared" si="3"/>
        <v>63.9360589368348</v>
      </c>
    </row>
    <row r="95" spans="1:9" ht="24" outlineLevel="5">
      <c r="A95" s="44" t="s">
        <v>151</v>
      </c>
      <c r="B95" s="59" t="s">
        <v>39</v>
      </c>
      <c r="C95" s="59" t="s">
        <v>29</v>
      </c>
      <c r="D95" s="59" t="s">
        <v>16</v>
      </c>
      <c r="E95" s="61" t="s">
        <v>9</v>
      </c>
      <c r="F95" s="60"/>
      <c r="G95" s="91">
        <f>SUM(G96)</f>
        <v>263.57710000000003</v>
      </c>
      <c r="H95" s="91">
        <f>SUM(H96)</f>
        <v>168.52081</v>
      </c>
      <c r="I95" s="91">
        <f t="shared" si="3"/>
        <v>63.9360589368348</v>
      </c>
    </row>
    <row r="96" spans="1:9" ht="24" outlineLevel="5">
      <c r="A96" s="44" t="s">
        <v>101</v>
      </c>
      <c r="B96" s="59" t="s">
        <v>39</v>
      </c>
      <c r="C96" s="59" t="s">
        <v>29</v>
      </c>
      <c r="D96" s="59" t="s">
        <v>16</v>
      </c>
      <c r="E96" s="61">
        <v>0</v>
      </c>
      <c r="F96" s="60">
        <v>200</v>
      </c>
      <c r="G96" s="91">
        <f>263.6-0.0229</f>
        <v>263.57710000000003</v>
      </c>
      <c r="H96" s="91">
        <v>168.52081</v>
      </c>
      <c r="I96" s="91">
        <f t="shared" si="3"/>
        <v>63.9360589368348</v>
      </c>
    </row>
    <row r="97" spans="1:9" ht="15.75" outlineLevel="5">
      <c r="A97" s="44" t="s">
        <v>47</v>
      </c>
      <c r="B97" s="59" t="s">
        <v>39</v>
      </c>
      <c r="C97" s="59" t="s">
        <v>29</v>
      </c>
      <c r="D97" s="59" t="s">
        <v>16</v>
      </c>
      <c r="E97" s="61">
        <v>0</v>
      </c>
      <c r="F97" s="60"/>
      <c r="G97" s="91">
        <f>7416.9-4448.8-2968.1</f>
        <v>0</v>
      </c>
      <c r="H97" s="91">
        <f>7416.9-4448.8-2968.1</f>
        <v>0</v>
      </c>
      <c r="I97" s="91">
        <v>0</v>
      </c>
    </row>
    <row r="98" spans="1:9" ht="15.75" outlineLevel="1">
      <c r="A98" s="44" t="s">
        <v>48</v>
      </c>
      <c r="B98" s="59" t="s">
        <v>39</v>
      </c>
      <c r="C98" s="59" t="s">
        <v>112</v>
      </c>
      <c r="D98" s="59"/>
      <c r="E98" s="61"/>
      <c r="F98" s="60"/>
      <c r="G98" s="91">
        <f aca="true" t="shared" si="4" ref="G98:H101">SUM(G99)</f>
        <v>2.541</v>
      </c>
      <c r="H98" s="91">
        <f t="shared" si="4"/>
        <v>2.541</v>
      </c>
      <c r="I98" s="91">
        <f t="shared" si="3"/>
        <v>100</v>
      </c>
    </row>
    <row r="99" spans="1:9" ht="15.75" outlineLevel="2">
      <c r="A99" s="44" t="s">
        <v>49</v>
      </c>
      <c r="B99" s="59" t="s">
        <v>39</v>
      </c>
      <c r="C99" s="59" t="s">
        <v>50</v>
      </c>
      <c r="D99" s="59"/>
      <c r="E99" s="61"/>
      <c r="F99" s="60"/>
      <c r="G99" s="91">
        <f t="shared" si="4"/>
        <v>2.541</v>
      </c>
      <c r="H99" s="91">
        <f t="shared" si="4"/>
        <v>2.541</v>
      </c>
      <c r="I99" s="91">
        <f t="shared" si="3"/>
        <v>100</v>
      </c>
    </row>
    <row r="100" spans="1:9" ht="15.75" outlineLevel="5">
      <c r="A100" s="44" t="s">
        <v>17</v>
      </c>
      <c r="B100" s="59" t="s">
        <v>39</v>
      </c>
      <c r="C100" s="59" t="s">
        <v>50</v>
      </c>
      <c r="D100" s="59"/>
      <c r="E100" s="61"/>
      <c r="F100" s="60"/>
      <c r="G100" s="91">
        <f t="shared" si="4"/>
        <v>2.541</v>
      </c>
      <c r="H100" s="91">
        <f t="shared" si="4"/>
        <v>2.541</v>
      </c>
      <c r="I100" s="91">
        <f t="shared" si="3"/>
        <v>100</v>
      </c>
    </row>
    <row r="101" spans="1:9" ht="27" customHeight="1" outlineLevel="5">
      <c r="A101" s="44" t="s">
        <v>151</v>
      </c>
      <c r="B101" s="59" t="s">
        <v>39</v>
      </c>
      <c r="C101" s="59" t="s">
        <v>50</v>
      </c>
      <c r="D101" s="59" t="s">
        <v>16</v>
      </c>
      <c r="E101" s="61">
        <v>0</v>
      </c>
      <c r="F101" s="60"/>
      <c r="G101" s="91">
        <f t="shared" si="4"/>
        <v>2.541</v>
      </c>
      <c r="H101" s="91">
        <f t="shared" si="4"/>
        <v>2.541</v>
      </c>
      <c r="I101" s="91">
        <f t="shared" si="3"/>
        <v>100</v>
      </c>
    </row>
    <row r="102" spans="1:9" ht="24" outlineLevel="5">
      <c r="A102" s="44" t="s">
        <v>101</v>
      </c>
      <c r="B102" s="59" t="s">
        <v>39</v>
      </c>
      <c r="C102" s="59" t="s">
        <v>50</v>
      </c>
      <c r="D102" s="59" t="s">
        <v>16</v>
      </c>
      <c r="E102" s="61">
        <v>0</v>
      </c>
      <c r="F102" s="60">
        <v>200</v>
      </c>
      <c r="G102" s="91">
        <f>1.2705+1.2705</f>
        <v>2.541</v>
      </c>
      <c r="H102" s="91">
        <f>1.2705+1.2705</f>
        <v>2.541</v>
      </c>
      <c r="I102" s="91">
        <f t="shared" si="3"/>
        <v>100</v>
      </c>
    </row>
    <row r="103" spans="1:9" ht="15.75" outlineLevel="5">
      <c r="A103" s="44" t="s">
        <v>117</v>
      </c>
      <c r="B103" s="59" t="s">
        <v>39</v>
      </c>
      <c r="C103" s="59" t="s">
        <v>113</v>
      </c>
      <c r="D103" s="59"/>
      <c r="E103" s="61"/>
      <c r="F103" s="60"/>
      <c r="G103" s="91">
        <f>SUM(G104+G107)</f>
        <v>0</v>
      </c>
      <c r="H103" s="91">
        <f>SUM(H104+H107)</f>
        <v>0</v>
      </c>
      <c r="I103" s="91">
        <v>0</v>
      </c>
    </row>
    <row r="104" spans="1:9" ht="15.75" outlineLevel="5">
      <c r="A104" s="44" t="s">
        <v>309</v>
      </c>
      <c r="B104" s="59" t="s">
        <v>39</v>
      </c>
      <c r="C104" s="59" t="s">
        <v>51</v>
      </c>
      <c r="D104" s="59"/>
      <c r="E104" s="61"/>
      <c r="F104" s="60"/>
      <c r="G104" s="91">
        <f>SUM(G105)</f>
        <v>0</v>
      </c>
      <c r="H104" s="91">
        <f>SUM(H105)</f>
        <v>0</v>
      </c>
      <c r="I104" s="91">
        <v>0</v>
      </c>
    </row>
    <row r="105" spans="1:9" ht="24" outlineLevel="5">
      <c r="A105" s="44" t="s">
        <v>151</v>
      </c>
      <c r="B105" s="59" t="s">
        <v>39</v>
      </c>
      <c r="C105" s="59" t="s">
        <v>51</v>
      </c>
      <c r="D105" s="59" t="s">
        <v>16</v>
      </c>
      <c r="E105" s="61">
        <v>0</v>
      </c>
      <c r="F105" s="60"/>
      <c r="G105" s="91">
        <f>SUM(G106)</f>
        <v>0</v>
      </c>
      <c r="H105" s="91">
        <f>SUM(H106)</f>
        <v>0</v>
      </c>
      <c r="I105" s="91">
        <v>0</v>
      </c>
    </row>
    <row r="106" spans="1:9" ht="24" outlineLevel="5">
      <c r="A106" s="44" t="s">
        <v>101</v>
      </c>
      <c r="B106" s="59" t="s">
        <v>39</v>
      </c>
      <c r="C106" s="59" t="s">
        <v>51</v>
      </c>
      <c r="D106" s="59" t="s">
        <v>16</v>
      </c>
      <c r="E106" s="61">
        <v>0</v>
      </c>
      <c r="F106" s="60">
        <v>200</v>
      </c>
      <c r="G106" s="91">
        <f>20-20</f>
        <v>0</v>
      </c>
      <c r="H106" s="91">
        <f>20-20</f>
        <v>0</v>
      </c>
      <c r="I106" s="91">
        <v>0</v>
      </c>
    </row>
    <row r="107" spans="1:9" ht="27.75" customHeight="1" outlineLevel="1">
      <c r="A107" s="44" t="s">
        <v>307</v>
      </c>
      <c r="B107" s="59" t="s">
        <v>39</v>
      </c>
      <c r="C107" s="59" t="s">
        <v>308</v>
      </c>
      <c r="D107" s="59"/>
      <c r="E107" s="61"/>
      <c r="F107" s="60"/>
      <c r="G107" s="91">
        <f>SUM(G108)</f>
        <v>0</v>
      </c>
      <c r="H107" s="91">
        <f>SUM(H108)</f>
        <v>0</v>
      </c>
      <c r="I107" s="91">
        <v>0</v>
      </c>
    </row>
    <row r="108" spans="1:9" ht="24.75" customHeight="1" outlineLevel="2">
      <c r="A108" s="44" t="s">
        <v>151</v>
      </c>
      <c r="B108" s="59" t="s">
        <v>39</v>
      </c>
      <c r="C108" s="59" t="s">
        <v>308</v>
      </c>
      <c r="D108" s="59" t="s">
        <v>16</v>
      </c>
      <c r="E108" s="61">
        <v>0</v>
      </c>
      <c r="F108" s="60"/>
      <c r="G108" s="91">
        <f>SUM(G109)</f>
        <v>0</v>
      </c>
      <c r="H108" s="91">
        <f>SUM(H109)</f>
        <v>0</v>
      </c>
      <c r="I108" s="91">
        <v>0</v>
      </c>
    </row>
    <row r="109" spans="1:9" ht="24" outlineLevel="3">
      <c r="A109" s="44" t="s">
        <v>101</v>
      </c>
      <c r="B109" s="59" t="s">
        <v>39</v>
      </c>
      <c r="C109" s="59" t="s">
        <v>308</v>
      </c>
      <c r="D109" s="59" t="s">
        <v>16</v>
      </c>
      <c r="E109" s="61">
        <v>0</v>
      </c>
      <c r="F109" s="60">
        <v>200</v>
      </c>
      <c r="G109" s="91">
        <f>50+10-10-50</f>
        <v>0</v>
      </c>
      <c r="H109" s="91">
        <f>50+10-10-50</f>
        <v>0</v>
      </c>
      <c r="I109" s="91">
        <v>0</v>
      </c>
    </row>
    <row r="110" spans="1:9" ht="15" customHeight="1" outlineLevel="3">
      <c r="A110" s="44" t="s">
        <v>118</v>
      </c>
      <c r="B110" s="59" t="s">
        <v>39</v>
      </c>
      <c r="C110" s="59" t="s">
        <v>59</v>
      </c>
      <c r="D110" s="59"/>
      <c r="E110" s="61"/>
      <c r="F110" s="60"/>
      <c r="G110" s="103">
        <f>SUM(G111+G115+G123)</f>
        <v>28690.38422</v>
      </c>
      <c r="H110" s="103">
        <f>SUM(H111+H115+H123)</f>
        <v>26409.0925</v>
      </c>
      <c r="I110" s="91">
        <f t="shared" si="3"/>
        <v>92.0485842834767</v>
      </c>
    </row>
    <row r="111" spans="1:9" ht="15.75" outlineLevel="3">
      <c r="A111" s="44" t="s">
        <v>142</v>
      </c>
      <c r="B111" s="59" t="s">
        <v>39</v>
      </c>
      <c r="C111" s="59" t="s">
        <v>143</v>
      </c>
      <c r="D111" s="59"/>
      <c r="E111" s="61"/>
      <c r="F111" s="60"/>
      <c r="G111" s="103">
        <f aca="true" t="shared" si="5" ref="G111:H113">SUM(G112)</f>
        <v>134.4</v>
      </c>
      <c r="H111" s="103">
        <f t="shared" si="5"/>
        <v>134.4</v>
      </c>
      <c r="I111" s="91">
        <f t="shared" si="3"/>
        <v>100</v>
      </c>
    </row>
    <row r="112" spans="1:9" ht="48" outlineLevel="3">
      <c r="A112" s="44" t="s">
        <v>224</v>
      </c>
      <c r="B112" s="59" t="s">
        <v>39</v>
      </c>
      <c r="C112" s="59" t="s">
        <v>143</v>
      </c>
      <c r="D112" s="59" t="s">
        <v>16</v>
      </c>
      <c r="E112" s="61">
        <v>0</v>
      </c>
      <c r="F112" s="60"/>
      <c r="G112" s="103">
        <f t="shared" si="5"/>
        <v>134.4</v>
      </c>
      <c r="H112" s="103">
        <f t="shared" si="5"/>
        <v>134.4</v>
      </c>
      <c r="I112" s="91">
        <f t="shared" si="3"/>
        <v>100</v>
      </c>
    </row>
    <row r="113" spans="1:9" ht="24" outlineLevel="3">
      <c r="A113" s="44" t="s">
        <v>151</v>
      </c>
      <c r="B113" s="59" t="s">
        <v>39</v>
      </c>
      <c r="C113" s="59" t="s">
        <v>143</v>
      </c>
      <c r="D113" s="59" t="s">
        <v>16</v>
      </c>
      <c r="E113" s="61">
        <v>0</v>
      </c>
      <c r="F113" s="60"/>
      <c r="G113" s="103">
        <f t="shared" si="5"/>
        <v>134.4</v>
      </c>
      <c r="H113" s="103">
        <f t="shared" si="5"/>
        <v>134.4</v>
      </c>
      <c r="I113" s="91">
        <f t="shared" si="3"/>
        <v>100</v>
      </c>
    </row>
    <row r="114" spans="1:9" ht="24" outlineLevel="3">
      <c r="A114" s="44" t="s">
        <v>101</v>
      </c>
      <c r="B114" s="59" t="s">
        <v>39</v>
      </c>
      <c r="C114" s="59" t="s">
        <v>143</v>
      </c>
      <c r="D114" s="59" t="s">
        <v>16</v>
      </c>
      <c r="E114" s="61">
        <v>0</v>
      </c>
      <c r="F114" s="60">
        <v>200</v>
      </c>
      <c r="G114" s="91">
        <f>139.6-5.2</f>
        <v>134.4</v>
      </c>
      <c r="H114" s="91">
        <f>139.6-5.2</f>
        <v>134.4</v>
      </c>
      <c r="I114" s="91">
        <f t="shared" si="3"/>
        <v>100</v>
      </c>
    </row>
    <row r="115" spans="1:9" ht="15.75">
      <c r="A115" s="44" t="s">
        <v>119</v>
      </c>
      <c r="B115" s="59" t="s">
        <v>39</v>
      </c>
      <c r="C115" s="59" t="s">
        <v>52</v>
      </c>
      <c r="D115" s="59"/>
      <c r="E115" s="61"/>
      <c r="F115" s="60"/>
      <c r="G115" s="103">
        <f>SUM(G116+G121)</f>
        <v>27595.48422</v>
      </c>
      <c r="H115" s="103">
        <f>SUM(H116+H121)</f>
        <v>25314.192499999997</v>
      </c>
      <c r="I115" s="91">
        <f t="shared" si="3"/>
        <v>91.73309769883791</v>
      </c>
    </row>
    <row r="116" spans="1:9" ht="38.25" customHeight="1" outlineLevel="1">
      <c r="A116" s="44" t="s">
        <v>276</v>
      </c>
      <c r="B116" s="59" t="s">
        <v>39</v>
      </c>
      <c r="C116" s="59" t="s">
        <v>52</v>
      </c>
      <c r="D116" s="59" t="s">
        <v>146</v>
      </c>
      <c r="E116" s="61">
        <v>0</v>
      </c>
      <c r="F116" s="62"/>
      <c r="G116" s="91">
        <f>SUM(G117:G120)</f>
        <v>27595.48422</v>
      </c>
      <c r="H116" s="91">
        <f>SUM(H117:H120)</f>
        <v>25314.192499999997</v>
      </c>
      <c r="I116" s="91">
        <f t="shared" si="3"/>
        <v>91.73309769883791</v>
      </c>
    </row>
    <row r="117" spans="1:9" ht="24" outlineLevel="2">
      <c r="A117" s="44" t="s">
        <v>101</v>
      </c>
      <c r="B117" s="59" t="s">
        <v>39</v>
      </c>
      <c r="C117" s="59" t="s">
        <v>52</v>
      </c>
      <c r="D117" s="59" t="s">
        <v>146</v>
      </c>
      <c r="E117" s="61">
        <v>0</v>
      </c>
      <c r="F117" s="62">
        <v>200</v>
      </c>
      <c r="G117" s="91">
        <f>6127.4+7234.17663-60.60606-6000-4000-1163.02-1.2+2.2-725.95551-6.42498+3+429.5</f>
        <v>1839.0700799999995</v>
      </c>
      <c r="H117" s="91">
        <v>53</v>
      </c>
      <c r="I117" s="91">
        <f t="shared" si="3"/>
        <v>2.8818912653943025</v>
      </c>
    </row>
    <row r="118" spans="1:9" ht="15.75" outlineLevel="2">
      <c r="A118" s="44" t="s">
        <v>313</v>
      </c>
      <c r="B118" s="59" t="s">
        <v>39</v>
      </c>
      <c r="C118" s="59" t="s">
        <v>52</v>
      </c>
      <c r="D118" s="59" t="s">
        <v>146</v>
      </c>
      <c r="E118" s="61">
        <v>0</v>
      </c>
      <c r="F118" s="62">
        <v>200</v>
      </c>
      <c r="G118" s="91">
        <f>3615+8000+6000-3615-8000+7966.53+33.47</f>
        <v>13999.999999999998</v>
      </c>
      <c r="H118" s="91">
        <v>13556.31885</v>
      </c>
      <c r="I118" s="91">
        <f t="shared" si="3"/>
        <v>96.83084892857143</v>
      </c>
    </row>
    <row r="119" spans="1:9" ht="36" outlineLevel="2">
      <c r="A119" s="44" t="s">
        <v>314</v>
      </c>
      <c r="B119" s="59" t="s">
        <v>39</v>
      </c>
      <c r="C119" s="59" t="s">
        <v>52</v>
      </c>
      <c r="D119" s="59" t="s">
        <v>146</v>
      </c>
      <c r="E119" s="61">
        <v>0</v>
      </c>
      <c r="F119" s="62">
        <v>200</v>
      </c>
      <c r="G119" s="91">
        <f>60.60606+80.47+0.33808</f>
        <v>141.41413999999997</v>
      </c>
      <c r="H119" s="91">
        <v>136.93252</v>
      </c>
      <c r="I119" s="91">
        <f t="shared" si="3"/>
        <v>96.83085439688</v>
      </c>
    </row>
    <row r="120" spans="1:9" ht="24" outlineLevel="2">
      <c r="A120" s="44" t="s">
        <v>272</v>
      </c>
      <c r="B120" s="59" t="s">
        <v>39</v>
      </c>
      <c r="C120" s="59" t="s">
        <v>52</v>
      </c>
      <c r="D120" s="59" t="s">
        <v>146</v>
      </c>
      <c r="E120" s="61">
        <v>0</v>
      </c>
      <c r="F120" s="62">
        <v>500</v>
      </c>
      <c r="G120" s="91">
        <f>3615+8000</f>
        <v>11615</v>
      </c>
      <c r="H120" s="91">
        <v>11567.94113</v>
      </c>
      <c r="I120" s="91">
        <f t="shared" si="3"/>
        <v>99.59484399483426</v>
      </c>
    </row>
    <row r="121" spans="1:9" ht="24" hidden="1" outlineLevel="3">
      <c r="A121" s="44" t="s">
        <v>277</v>
      </c>
      <c r="B121" s="59" t="s">
        <v>39</v>
      </c>
      <c r="C121" s="59" t="s">
        <v>52</v>
      </c>
      <c r="D121" s="59" t="s">
        <v>12</v>
      </c>
      <c r="E121" s="61">
        <v>0</v>
      </c>
      <c r="F121" s="60"/>
      <c r="G121" s="91">
        <f>SUM(G122)</f>
        <v>0</v>
      </c>
      <c r="H121" s="91">
        <f>SUM(H122)</f>
        <v>0</v>
      </c>
      <c r="I121" s="91" t="e">
        <f t="shared" si="3"/>
        <v>#DIV/0!</v>
      </c>
    </row>
    <row r="122" spans="1:9" ht="24" hidden="1" outlineLevel="3">
      <c r="A122" s="44" t="s">
        <v>152</v>
      </c>
      <c r="B122" s="59" t="s">
        <v>39</v>
      </c>
      <c r="C122" s="59" t="s">
        <v>52</v>
      </c>
      <c r="D122" s="59" t="s">
        <v>12</v>
      </c>
      <c r="E122" s="61">
        <v>0</v>
      </c>
      <c r="F122" s="60">
        <v>600</v>
      </c>
      <c r="G122" s="91">
        <v>0</v>
      </c>
      <c r="H122" s="91">
        <v>0</v>
      </c>
      <c r="I122" s="91" t="e">
        <f t="shared" si="3"/>
        <v>#DIV/0!</v>
      </c>
    </row>
    <row r="123" spans="1:9" ht="14.25" customHeight="1" outlineLevel="3">
      <c r="A123" s="44" t="s">
        <v>120</v>
      </c>
      <c r="B123" s="59" t="s">
        <v>39</v>
      </c>
      <c r="C123" s="59" t="s">
        <v>53</v>
      </c>
      <c r="D123" s="59"/>
      <c r="E123" s="61"/>
      <c r="F123" s="60"/>
      <c r="G123" s="91">
        <f>SUM(G124+G131+G128)</f>
        <v>960.5</v>
      </c>
      <c r="H123" s="91">
        <f>SUM(H124+H131+H128)</f>
        <v>960.5</v>
      </c>
      <c r="I123" s="91">
        <f t="shared" si="3"/>
        <v>100</v>
      </c>
    </row>
    <row r="124" spans="1:9" ht="34.5" customHeight="1" outlineLevel="3">
      <c r="A124" s="44" t="s">
        <v>244</v>
      </c>
      <c r="B124" s="59" t="s">
        <v>39</v>
      </c>
      <c r="C124" s="59" t="s">
        <v>53</v>
      </c>
      <c r="D124" s="59" t="s">
        <v>13</v>
      </c>
      <c r="E124" s="61">
        <v>0</v>
      </c>
      <c r="F124" s="60"/>
      <c r="G124" s="91">
        <f>SUM(G125:G127)</f>
        <v>100</v>
      </c>
      <c r="H124" s="91">
        <f>SUM(H125:H127)</f>
        <v>100</v>
      </c>
      <c r="I124" s="91">
        <f t="shared" si="3"/>
        <v>100</v>
      </c>
    </row>
    <row r="125" spans="1:9" ht="24" hidden="1" outlineLevel="3">
      <c r="A125" s="44" t="s">
        <v>101</v>
      </c>
      <c r="B125" s="59" t="s">
        <v>39</v>
      </c>
      <c r="C125" s="59" t="s">
        <v>53</v>
      </c>
      <c r="D125" s="59" t="s">
        <v>13</v>
      </c>
      <c r="E125" s="61">
        <v>0</v>
      </c>
      <c r="F125" s="60">
        <v>200</v>
      </c>
      <c r="G125" s="91">
        <v>0</v>
      </c>
      <c r="H125" s="91">
        <v>0</v>
      </c>
      <c r="I125" s="91" t="e">
        <f t="shared" si="3"/>
        <v>#DIV/0!</v>
      </c>
    </row>
    <row r="126" spans="1:9" ht="16.5" customHeight="1" hidden="1" outlineLevel="3">
      <c r="A126" s="44" t="s">
        <v>153</v>
      </c>
      <c r="B126" s="59" t="s">
        <v>39</v>
      </c>
      <c r="C126" s="59" t="s">
        <v>53</v>
      </c>
      <c r="D126" s="59" t="s">
        <v>13</v>
      </c>
      <c r="E126" s="61">
        <v>0</v>
      </c>
      <c r="F126" s="60">
        <v>300</v>
      </c>
      <c r="G126" s="91">
        <f>50-50</f>
        <v>0</v>
      </c>
      <c r="H126" s="91">
        <f>50-50</f>
        <v>0</v>
      </c>
      <c r="I126" s="91" t="e">
        <f t="shared" si="3"/>
        <v>#DIV/0!</v>
      </c>
    </row>
    <row r="127" spans="1:9" ht="15.75" outlineLevel="3">
      <c r="A127" s="44" t="s">
        <v>141</v>
      </c>
      <c r="B127" s="59" t="s">
        <v>39</v>
      </c>
      <c r="C127" s="59" t="s">
        <v>53</v>
      </c>
      <c r="D127" s="59" t="s">
        <v>13</v>
      </c>
      <c r="E127" s="61">
        <v>0</v>
      </c>
      <c r="F127" s="60">
        <v>800</v>
      </c>
      <c r="G127" s="91">
        <f>150-50</f>
        <v>100</v>
      </c>
      <c r="H127" s="91">
        <f>150-50</f>
        <v>100</v>
      </c>
      <c r="I127" s="91">
        <f t="shared" si="3"/>
        <v>100</v>
      </c>
    </row>
    <row r="128" spans="1:9" ht="36.75" customHeight="1" outlineLevel="3">
      <c r="A128" s="44" t="s">
        <v>306</v>
      </c>
      <c r="B128" s="59" t="s">
        <v>39</v>
      </c>
      <c r="C128" s="59" t="s">
        <v>53</v>
      </c>
      <c r="D128" s="59" t="s">
        <v>266</v>
      </c>
      <c r="E128" s="61">
        <v>0</v>
      </c>
      <c r="F128" s="60"/>
      <c r="G128" s="91">
        <f>SUM(G129:G130)</f>
        <v>860.5</v>
      </c>
      <c r="H128" s="91">
        <f>SUM(H129:H130)</f>
        <v>860.5</v>
      </c>
      <c r="I128" s="91">
        <f t="shared" si="3"/>
        <v>100</v>
      </c>
    </row>
    <row r="129" spans="1:9" ht="24" outlineLevel="3">
      <c r="A129" s="44" t="s">
        <v>101</v>
      </c>
      <c r="B129" s="59" t="s">
        <v>39</v>
      </c>
      <c r="C129" s="59" t="s">
        <v>53</v>
      </c>
      <c r="D129" s="59" t="s">
        <v>266</v>
      </c>
      <c r="E129" s="61">
        <v>0</v>
      </c>
      <c r="F129" s="60">
        <v>200</v>
      </c>
      <c r="G129" s="91">
        <f>525-275+180+102.7-15-27.2</f>
        <v>490.50000000000006</v>
      </c>
      <c r="H129" s="91">
        <f>525-275+180+102.7-15-27.2</f>
        <v>490.50000000000006</v>
      </c>
      <c r="I129" s="91">
        <f t="shared" si="3"/>
        <v>100</v>
      </c>
    </row>
    <row r="130" spans="1:9" ht="17.25" customHeight="1" outlineLevel="3">
      <c r="A130" s="44" t="s">
        <v>154</v>
      </c>
      <c r="B130" s="59" t="s">
        <v>39</v>
      </c>
      <c r="C130" s="59" t="s">
        <v>53</v>
      </c>
      <c r="D130" s="59" t="s">
        <v>266</v>
      </c>
      <c r="E130" s="61">
        <v>0</v>
      </c>
      <c r="F130" s="60">
        <v>500</v>
      </c>
      <c r="G130" s="91">
        <f>550-180</f>
        <v>370</v>
      </c>
      <c r="H130" s="91">
        <f>550-180</f>
        <v>370</v>
      </c>
      <c r="I130" s="91">
        <f t="shared" si="3"/>
        <v>100</v>
      </c>
    </row>
    <row r="131" spans="1:9" ht="24" hidden="1" outlineLevel="1">
      <c r="A131" s="44" t="s">
        <v>151</v>
      </c>
      <c r="B131" s="59" t="s">
        <v>39</v>
      </c>
      <c r="C131" s="59" t="s">
        <v>53</v>
      </c>
      <c r="D131" s="59" t="s">
        <v>16</v>
      </c>
      <c r="E131" s="61">
        <v>0</v>
      </c>
      <c r="F131" s="60"/>
      <c r="G131" s="91">
        <f>SUM(G132)</f>
        <v>0</v>
      </c>
      <c r="H131" s="91">
        <f>SUM(H132)</f>
        <v>0</v>
      </c>
      <c r="I131" s="91" t="e">
        <f t="shared" si="3"/>
        <v>#DIV/0!</v>
      </c>
    </row>
    <row r="132" spans="1:9" ht="15.75" hidden="1" outlineLevel="1">
      <c r="A132" s="44" t="s">
        <v>252</v>
      </c>
      <c r="B132" s="59" t="s">
        <v>39</v>
      </c>
      <c r="C132" s="59" t="s">
        <v>53</v>
      </c>
      <c r="D132" s="59" t="s">
        <v>16</v>
      </c>
      <c r="E132" s="61">
        <v>0</v>
      </c>
      <c r="F132" s="60">
        <v>300</v>
      </c>
      <c r="G132" s="91">
        <f>530-60-470</f>
        <v>0</v>
      </c>
      <c r="H132" s="91">
        <f>530-60-470</f>
        <v>0</v>
      </c>
      <c r="I132" s="91" t="e">
        <f t="shared" si="3"/>
        <v>#DIV/0!</v>
      </c>
    </row>
    <row r="133" spans="1:9" ht="13.5" customHeight="1" outlineLevel="1">
      <c r="A133" s="44" t="s">
        <v>55</v>
      </c>
      <c r="B133" s="59" t="s">
        <v>39</v>
      </c>
      <c r="C133" s="59" t="s">
        <v>56</v>
      </c>
      <c r="D133" s="59"/>
      <c r="E133" s="61"/>
      <c r="F133" s="60"/>
      <c r="G133" s="91">
        <f>SUM(G134+G149)</f>
        <v>122931.68043</v>
      </c>
      <c r="H133" s="91">
        <f>SUM(H134+H149)</f>
        <v>122931.68043</v>
      </c>
      <c r="I133" s="91">
        <f t="shared" si="3"/>
        <v>100</v>
      </c>
    </row>
    <row r="134" spans="1:9" ht="15.75" outlineLevel="1">
      <c r="A134" s="44" t="s">
        <v>54</v>
      </c>
      <c r="B134" s="59" t="s">
        <v>39</v>
      </c>
      <c r="C134" s="59" t="s">
        <v>57</v>
      </c>
      <c r="D134" s="59"/>
      <c r="E134" s="61"/>
      <c r="F134" s="60"/>
      <c r="G134" s="91">
        <f>SUM(G135+G146+G143)</f>
        <v>118377.86343</v>
      </c>
      <c r="H134" s="91">
        <f>SUM(H135+H146+H143)</f>
        <v>118377.86343</v>
      </c>
      <c r="I134" s="91">
        <f t="shared" si="3"/>
        <v>100</v>
      </c>
    </row>
    <row r="135" spans="1:9" ht="36" outlineLevel="1">
      <c r="A135" s="44" t="s">
        <v>257</v>
      </c>
      <c r="B135" s="59" t="s">
        <v>39</v>
      </c>
      <c r="C135" s="59" t="s">
        <v>57</v>
      </c>
      <c r="D135" s="59" t="s">
        <v>6</v>
      </c>
      <c r="E135" s="61">
        <v>0</v>
      </c>
      <c r="F135" s="60"/>
      <c r="G135" s="91">
        <f>SUM(G136+G141+G139)</f>
        <v>6608.4695</v>
      </c>
      <c r="H135" s="91">
        <f>SUM(H136+H141+H139)</f>
        <v>6608.4695</v>
      </c>
      <c r="I135" s="91">
        <f t="shared" si="3"/>
        <v>100</v>
      </c>
    </row>
    <row r="136" spans="1:9" ht="34.5" customHeight="1" outlineLevel="2">
      <c r="A136" s="44" t="s">
        <v>181</v>
      </c>
      <c r="B136" s="59" t="s">
        <v>39</v>
      </c>
      <c r="C136" s="59" t="s">
        <v>57</v>
      </c>
      <c r="D136" s="59" t="s">
        <v>6</v>
      </c>
      <c r="E136" s="61">
        <v>1</v>
      </c>
      <c r="F136" s="60"/>
      <c r="G136" s="91">
        <f>SUM(G137:G138)</f>
        <v>6548</v>
      </c>
      <c r="H136" s="91">
        <f>SUM(H137:H138)</f>
        <v>6548</v>
      </c>
      <c r="I136" s="91">
        <f t="shared" si="3"/>
        <v>100</v>
      </c>
    </row>
    <row r="137" spans="1:9" ht="36" outlineLevel="5">
      <c r="A137" s="44" t="s">
        <v>327</v>
      </c>
      <c r="B137" s="59" t="s">
        <v>39</v>
      </c>
      <c r="C137" s="59" t="s">
        <v>57</v>
      </c>
      <c r="D137" s="59" t="s">
        <v>6</v>
      </c>
      <c r="E137" s="61">
        <v>1</v>
      </c>
      <c r="F137" s="60">
        <v>500</v>
      </c>
      <c r="G137" s="91">
        <f>2100+233.33334</f>
        <v>2333.33334</v>
      </c>
      <c r="H137" s="91">
        <f>2100+233.33334</f>
        <v>2333.33334</v>
      </c>
      <c r="I137" s="91">
        <f t="shared" si="3"/>
        <v>100</v>
      </c>
    </row>
    <row r="138" spans="1:9" ht="15.75" outlineLevel="2">
      <c r="A138" s="44" t="s">
        <v>154</v>
      </c>
      <c r="B138" s="59" t="s">
        <v>39</v>
      </c>
      <c r="C138" s="59" t="s">
        <v>57</v>
      </c>
      <c r="D138" s="59" t="s">
        <v>6</v>
      </c>
      <c r="E138" s="61">
        <v>1</v>
      </c>
      <c r="F138" s="60">
        <v>500</v>
      </c>
      <c r="G138" s="91">
        <f>4448-233.33334</f>
        <v>4214.66666</v>
      </c>
      <c r="H138" s="91">
        <f>4448-233.33334</f>
        <v>4214.66666</v>
      </c>
      <c r="I138" s="91">
        <f aca="true" t="shared" si="6" ref="I138:I201">SUM(H138/G138)*100</f>
        <v>100</v>
      </c>
    </row>
    <row r="139" spans="1:9" ht="24" hidden="1" outlineLevel="2">
      <c r="A139" s="44" t="s">
        <v>199</v>
      </c>
      <c r="B139" s="59" t="s">
        <v>39</v>
      </c>
      <c r="C139" s="59" t="s">
        <v>57</v>
      </c>
      <c r="D139" s="59" t="s">
        <v>6</v>
      </c>
      <c r="E139" s="61">
        <v>3</v>
      </c>
      <c r="F139" s="60"/>
      <c r="G139" s="91">
        <f>SUM(G140)</f>
        <v>0</v>
      </c>
      <c r="H139" s="91">
        <f>SUM(H140)</f>
        <v>0</v>
      </c>
      <c r="I139" s="91" t="e">
        <f t="shared" si="6"/>
        <v>#DIV/0!</v>
      </c>
    </row>
    <row r="140" spans="1:9" ht="24" hidden="1" outlineLevel="2">
      <c r="A140" s="44" t="s">
        <v>155</v>
      </c>
      <c r="B140" s="59" t="s">
        <v>39</v>
      </c>
      <c r="C140" s="59" t="s">
        <v>57</v>
      </c>
      <c r="D140" s="59" t="s">
        <v>6</v>
      </c>
      <c r="E140" s="61">
        <v>3</v>
      </c>
      <c r="F140" s="60">
        <v>400</v>
      </c>
      <c r="G140" s="91">
        <f>5000-5000</f>
        <v>0</v>
      </c>
      <c r="H140" s="91">
        <f>5000-5000</f>
        <v>0</v>
      </c>
      <c r="I140" s="91" t="e">
        <f t="shared" si="6"/>
        <v>#DIV/0!</v>
      </c>
    </row>
    <row r="141" spans="1:9" ht="24" outlineLevel="5">
      <c r="A141" s="44" t="s">
        <v>182</v>
      </c>
      <c r="B141" s="59" t="s">
        <v>39</v>
      </c>
      <c r="C141" s="59" t="s">
        <v>57</v>
      </c>
      <c r="D141" s="59" t="s">
        <v>6</v>
      </c>
      <c r="E141" s="61">
        <v>4</v>
      </c>
      <c r="F141" s="60"/>
      <c r="G141" s="91">
        <f>SUM(G142)</f>
        <v>60.4695</v>
      </c>
      <c r="H141" s="91">
        <f>SUM(H142)</f>
        <v>60.4695</v>
      </c>
      <c r="I141" s="91">
        <f t="shared" si="6"/>
        <v>100</v>
      </c>
    </row>
    <row r="142" spans="1:9" ht="24" outlineLevel="5">
      <c r="A142" s="44" t="s">
        <v>101</v>
      </c>
      <c r="B142" s="59" t="s">
        <v>39</v>
      </c>
      <c r="C142" s="59" t="s">
        <v>57</v>
      </c>
      <c r="D142" s="59" t="s">
        <v>6</v>
      </c>
      <c r="E142" s="61">
        <v>4</v>
      </c>
      <c r="F142" s="60">
        <v>200</v>
      </c>
      <c r="G142" s="91">
        <f>28.85832+31.61118</f>
        <v>60.4695</v>
      </c>
      <c r="H142" s="91">
        <f>28.85832+31.61118</f>
        <v>60.4695</v>
      </c>
      <c r="I142" s="91">
        <f t="shared" si="6"/>
        <v>100</v>
      </c>
    </row>
    <row r="143" spans="1:9" ht="24" outlineLevel="5">
      <c r="A143" s="44" t="s">
        <v>277</v>
      </c>
      <c r="B143" s="59" t="s">
        <v>39</v>
      </c>
      <c r="C143" s="59" t="s">
        <v>57</v>
      </c>
      <c r="D143" s="59" t="s">
        <v>12</v>
      </c>
      <c r="E143" s="61">
        <v>0</v>
      </c>
      <c r="F143" s="60"/>
      <c r="G143" s="91">
        <f>SUM(G144:G145)</f>
        <v>111709.88799999999</v>
      </c>
      <c r="H143" s="91">
        <f>SUM(H144:H145)</f>
        <v>111709.88799999999</v>
      </c>
      <c r="I143" s="91">
        <f t="shared" si="6"/>
        <v>100</v>
      </c>
    </row>
    <row r="144" spans="1:9" ht="36" outlineLevel="5">
      <c r="A144" s="44" t="s">
        <v>289</v>
      </c>
      <c r="B144" s="59" t="s">
        <v>39</v>
      </c>
      <c r="C144" s="59" t="s">
        <v>57</v>
      </c>
      <c r="D144" s="59" t="s">
        <v>12</v>
      </c>
      <c r="E144" s="61">
        <v>0</v>
      </c>
      <c r="F144" s="60">
        <v>400</v>
      </c>
      <c r="G144" s="91">
        <f>120673.704-12741.42127</f>
        <v>107932.28272999999</v>
      </c>
      <c r="H144" s="91">
        <f>120673.704-12741.42127</f>
        <v>107932.28272999999</v>
      </c>
      <c r="I144" s="91">
        <f t="shared" si="6"/>
        <v>100</v>
      </c>
    </row>
    <row r="145" spans="1:9" ht="24" outlineLevel="5">
      <c r="A145" s="44" t="s">
        <v>278</v>
      </c>
      <c r="B145" s="59" t="s">
        <v>39</v>
      </c>
      <c r="C145" s="59" t="s">
        <v>57</v>
      </c>
      <c r="D145" s="59" t="s">
        <v>12</v>
      </c>
      <c r="E145" s="61">
        <v>0</v>
      </c>
      <c r="F145" s="60">
        <v>400</v>
      </c>
      <c r="G145" s="91">
        <f>4223.546-445.94073</f>
        <v>3777.6052700000005</v>
      </c>
      <c r="H145" s="91">
        <f>4223.546-445.94073</f>
        <v>3777.6052700000005</v>
      </c>
      <c r="I145" s="91">
        <f t="shared" si="6"/>
        <v>100</v>
      </c>
    </row>
    <row r="146" spans="1:9" ht="49.5" customHeight="1" outlineLevel="5">
      <c r="A146" s="44" t="s">
        <v>239</v>
      </c>
      <c r="B146" s="59" t="s">
        <v>39</v>
      </c>
      <c r="C146" s="59" t="s">
        <v>57</v>
      </c>
      <c r="D146" s="59"/>
      <c r="E146" s="61"/>
      <c r="F146" s="60"/>
      <c r="G146" s="91">
        <f>SUM(G147)</f>
        <v>59.50593000000001</v>
      </c>
      <c r="H146" s="91">
        <f>SUM(H147)</f>
        <v>59.50593000000001</v>
      </c>
      <c r="I146" s="91">
        <f t="shared" si="6"/>
        <v>100</v>
      </c>
    </row>
    <row r="147" spans="1:9" ht="24" outlineLevel="5">
      <c r="A147" s="44" t="s">
        <v>151</v>
      </c>
      <c r="B147" s="59" t="s">
        <v>39</v>
      </c>
      <c r="C147" s="59" t="s">
        <v>57</v>
      </c>
      <c r="D147" s="59" t="s">
        <v>16</v>
      </c>
      <c r="E147" s="61">
        <v>0</v>
      </c>
      <c r="F147" s="60"/>
      <c r="G147" s="91">
        <f>SUM(G148)</f>
        <v>59.50593000000001</v>
      </c>
      <c r="H147" s="91">
        <f>SUM(H148)</f>
        <v>59.50593000000001</v>
      </c>
      <c r="I147" s="91">
        <f t="shared" si="6"/>
        <v>100</v>
      </c>
    </row>
    <row r="148" spans="1:9" ht="15.75" outlineLevel="5">
      <c r="A148" s="44" t="s">
        <v>141</v>
      </c>
      <c r="B148" s="59" t="s">
        <v>39</v>
      </c>
      <c r="C148" s="59" t="s">
        <v>57</v>
      </c>
      <c r="D148" s="59" t="s">
        <v>16</v>
      </c>
      <c r="E148" s="61">
        <v>0</v>
      </c>
      <c r="F148" s="60">
        <v>800</v>
      </c>
      <c r="G148" s="91">
        <f>16.2+58.2-49.9+29.1+20.3-5.6-8.79407</f>
        <v>59.50593000000001</v>
      </c>
      <c r="H148" s="91">
        <f>16.2+58.2-49.9+29.1+20.3-5.6-8.79407</f>
        <v>59.50593000000001</v>
      </c>
      <c r="I148" s="91">
        <f t="shared" si="6"/>
        <v>100</v>
      </c>
    </row>
    <row r="149" spans="1:9" ht="15.75" outlineLevel="5">
      <c r="A149" s="44" t="s">
        <v>132</v>
      </c>
      <c r="B149" s="59" t="s">
        <v>39</v>
      </c>
      <c r="C149" s="59" t="s">
        <v>131</v>
      </c>
      <c r="D149" s="59"/>
      <c r="E149" s="61"/>
      <c r="F149" s="60"/>
      <c r="G149" s="91">
        <f>SUM(G150)</f>
        <v>4553.817</v>
      </c>
      <c r="H149" s="91">
        <f>SUM(H150)</f>
        <v>4553.817</v>
      </c>
      <c r="I149" s="91">
        <f t="shared" si="6"/>
        <v>100</v>
      </c>
    </row>
    <row r="150" spans="1:9" ht="24" outlineLevel="5">
      <c r="A150" s="44" t="s">
        <v>277</v>
      </c>
      <c r="B150" s="59" t="s">
        <v>39</v>
      </c>
      <c r="C150" s="59" t="s">
        <v>131</v>
      </c>
      <c r="D150" s="59" t="s">
        <v>12</v>
      </c>
      <c r="E150" s="61">
        <v>0</v>
      </c>
      <c r="F150" s="60"/>
      <c r="G150" s="91">
        <f>SUM(G151:G151)</f>
        <v>4553.817</v>
      </c>
      <c r="H150" s="91">
        <f>SUM(H151:H151)</f>
        <v>4553.817</v>
      </c>
      <c r="I150" s="91">
        <f t="shared" si="6"/>
        <v>100</v>
      </c>
    </row>
    <row r="151" spans="1:9" ht="24" outlineLevel="5">
      <c r="A151" s="44" t="s">
        <v>152</v>
      </c>
      <c r="B151" s="59" t="s">
        <v>39</v>
      </c>
      <c r="C151" s="59" t="s">
        <v>131</v>
      </c>
      <c r="D151" s="59" t="s">
        <v>12</v>
      </c>
      <c r="E151" s="61">
        <v>0</v>
      </c>
      <c r="F151" s="60">
        <v>600</v>
      </c>
      <c r="G151" s="91">
        <f>1111.917+3441.9</f>
        <v>4553.817</v>
      </c>
      <c r="H151" s="91">
        <f>1111.917+3441.9</f>
        <v>4553.817</v>
      </c>
      <c r="I151" s="91">
        <f t="shared" si="6"/>
        <v>100</v>
      </c>
    </row>
    <row r="152" spans="1:9" ht="15.75" outlineLevel="5">
      <c r="A152" s="44" t="s">
        <v>58</v>
      </c>
      <c r="B152" s="59" t="s">
        <v>39</v>
      </c>
      <c r="C152" s="59" t="s">
        <v>114</v>
      </c>
      <c r="D152" s="59"/>
      <c r="E152" s="61"/>
      <c r="F152" s="60"/>
      <c r="G152" s="91">
        <f>SUM(G153)</f>
        <v>0</v>
      </c>
      <c r="H152" s="91">
        <f>SUM(H153)</f>
        <v>0</v>
      </c>
      <c r="I152" s="91">
        <v>0</v>
      </c>
    </row>
    <row r="153" spans="1:9" ht="27" customHeight="1" outlineLevel="5">
      <c r="A153" s="44" t="s">
        <v>241</v>
      </c>
      <c r="B153" s="59" t="s">
        <v>39</v>
      </c>
      <c r="C153" s="59" t="s">
        <v>60</v>
      </c>
      <c r="D153" s="59" t="s">
        <v>15</v>
      </c>
      <c r="E153" s="61">
        <v>0</v>
      </c>
      <c r="F153" s="60"/>
      <c r="G153" s="91">
        <f>SUM(G154:G155)</f>
        <v>0</v>
      </c>
      <c r="H153" s="91">
        <f>SUM(H154:H155)</f>
        <v>0</v>
      </c>
      <c r="I153" s="91">
        <v>0</v>
      </c>
    </row>
    <row r="154" spans="1:9" ht="18.75" customHeight="1" outlineLevel="5">
      <c r="A154" s="44" t="s">
        <v>101</v>
      </c>
      <c r="B154" s="59" t="s">
        <v>39</v>
      </c>
      <c r="C154" s="59" t="s">
        <v>60</v>
      </c>
      <c r="D154" s="59" t="s">
        <v>15</v>
      </c>
      <c r="E154" s="61">
        <v>0</v>
      </c>
      <c r="F154" s="60">
        <v>200</v>
      </c>
      <c r="G154" s="91">
        <f>50-30-20</f>
        <v>0</v>
      </c>
      <c r="H154" s="91">
        <f>50-30-20</f>
        <v>0</v>
      </c>
      <c r="I154" s="91">
        <v>0</v>
      </c>
    </row>
    <row r="155" spans="1:9" ht="5.25" customHeight="1" hidden="1" outlineLevel="5">
      <c r="A155" s="44" t="s">
        <v>152</v>
      </c>
      <c r="B155" s="59" t="s">
        <v>39</v>
      </c>
      <c r="C155" s="59" t="s">
        <v>60</v>
      </c>
      <c r="D155" s="59" t="s">
        <v>15</v>
      </c>
      <c r="E155" s="61">
        <v>0</v>
      </c>
      <c r="F155" s="60">
        <v>600</v>
      </c>
      <c r="G155" s="91">
        <v>0</v>
      </c>
      <c r="H155" s="91">
        <v>0</v>
      </c>
      <c r="I155" s="91" t="e">
        <f t="shared" si="6"/>
        <v>#DIV/0!</v>
      </c>
    </row>
    <row r="156" spans="1:9" ht="18.75" customHeight="1" outlineLevel="5">
      <c r="A156" s="44" t="s">
        <v>61</v>
      </c>
      <c r="B156" s="59" t="s">
        <v>39</v>
      </c>
      <c r="C156" s="59" t="s">
        <v>64</v>
      </c>
      <c r="D156" s="59"/>
      <c r="E156" s="61"/>
      <c r="F156" s="60"/>
      <c r="G156" s="91">
        <f>SUM(G157+G179+G226+G242+G218)</f>
        <v>253044.01555999997</v>
      </c>
      <c r="H156" s="91">
        <f>SUM(H157+H179+H226+H242+H218)</f>
        <v>252377.73015999998</v>
      </c>
      <c r="I156" s="91">
        <f t="shared" si="6"/>
        <v>99.73669189586425</v>
      </c>
    </row>
    <row r="157" spans="1:9" ht="19.5" customHeight="1" outlineLevel="1">
      <c r="A157" s="44" t="s">
        <v>62</v>
      </c>
      <c r="B157" s="59" t="s">
        <v>39</v>
      </c>
      <c r="C157" s="59" t="s">
        <v>63</v>
      </c>
      <c r="D157" s="59"/>
      <c r="E157" s="61"/>
      <c r="F157" s="60"/>
      <c r="G157" s="91">
        <f>SUM(G158+G166+G164+G172)</f>
        <v>38725.52332</v>
      </c>
      <c r="H157" s="91">
        <f>SUM(H158+H166+H164+H172)</f>
        <v>38617.92332</v>
      </c>
      <c r="I157" s="91">
        <f t="shared" si="6"/>
        <v>99.72214707310508</v>
      </c>
    </row>
    <row r="158" spans="1:9" ht="24" customHeight="1" outlineLevel="2">
      <c r="A158" s="44" t="s">
        <v>257</v>
      </c>
      <c r="B158" s="59" t="s">
        <v>39</v>
      </c>
      <c r="C158" s="59" t="s">
        <v>63</v>
      </c>
      <c r="D158" s="59" t="s">
        <v>6</v>
      </c>
      <c r="E158" s="61">
        <v>0</v>
      </c>
      <c r="F158" s="60"/>
      <c r="G158" s="91">
        <f>SUM(G159+G162)</f>
        <v>3727.22161</v>
      </c>
      <c r="H158" s="91">
        <f>SUM(H159+H162)</f>
        <v>3727.22161</v>
      </c>
      <c r="I158" s="91">
        <f t="shared" si="6"/>
        <v>100</v>
      </c>
    </row>
    <row r="159" spans="1:9" ht="32.25" customHeight="1" outlineLevel="3">
      <c r="A159" s="44" t="s">
        <v>199</v>
      </c>
      <c r="B159" s="59" t="s">
        <v>39</v>
      </c>
      <c r="C159" s="59" t="s">
        <v>63</v>
      </c>
      <c r="D159" s="59" t="s">
        <v>6</v>
      </c>
      <c r="E159" s="61">
        <v>3</v>
      </c>
      <c r="F159" s="60"/>
      <c r="G159" s="91">
        <f>SUM(G160:G161)</f>
        <v>3481.44661</v>
      </c>
      <c r="H159" s="91">
        <f>SUM(H160:H161)</f>
        <v>3481.44661</v>
      </c>
      <c r="I159" s="91">
        <f t="shared" si="6"/>
        <v>100</v>
      </c>
    </row>
    <row r="160" spans="1:9" ht="30" customHeight="1" outlineLevel="3">
      <c r="A160" s="44" t="s">
        <v>155</v>
      </c>
      <c r="B160" s="59" t="s">
        <v>39</v>
      </c>
      <c r="C160" s="59" t="s">
        <v>63</v>
      </c>
      <c r="D160" s="59" t="s">
        <v>6</v>
      </c>
      <c r="E160" s="61">
        <v>3</v>
      </c>
      <c r="F160" s="60">
        <v>400</v>
      </c>
      <c r="G160" s="91">
        <f>3870.90387-389.45726</f>
        <v>3481.44661</v>
      </c>
      <c r="H160" s="91">
        <f>3870.90387-389.45726</f>
        <v>3481.44661</v>
      </c>
      <c r="I160" s="91">
        <f t="shared" si="6"/>
        <v>100</v>
      </c>
    </row>
    <row r="161" spans="1:9" ht="24" hidden="1">
      <c r="A161" s="44" t="s">
        <v>152</v>
      </c>
      <c r="B161" s="59" t="s">
        <v>39</v>
      </c>
      <c r="C161" s="59" t="s">
        <v>63</v>
      </c>
      <c r="D161" s="59" t="s">
        <v>6</v>
      </c>
      <c r="E161" s="61">
        <v>3</v>
      </c>
      <c r="F161" s="60">
        <v>600</v>
      </c>
      <c r="G161" s="91">
        <v>0</v>
      </c>
      <c r="H161" s="91">
        <v>0</v>
      </c>
      <c r="I161" s="91" t="e">
        <f t="shared" si="6"/>
        <v>#DIV/0!</v>
      </c>
    </row>
    <row r="162" spans="1:9" ht="27" customHeight="1">
      <c r="A162" s="44" t="s">
        <v>182</v>
      </c>
      <c r="B162" s="59" t="s">
        <v>39</v>
      </c>
      <c r="C162" s="59" t="s">
        <v>63</v>
      </c>
      <c r="D162" s="59" t="s">
        <v>6</v>
      </c>
      <c r="E162" s="61">
        <v>4</v>
      </c>
      <c r="F162" s="60"/>
      <c r="G162" s="91">
        <f>SUM(G163:G163)</f>
        <v>245.775</v>
      </c>
      <c r="H162" s="91">
        <f>SUM(H163:H163)</f>
        <v>245.775</v>
      </c>
      <c r="I162" s="91">
        <f t="shared" si="6"/>
        <v>100</v>
      </c>
    </row>
    <row r="163" spans="1:9" ht="21.75" customHeight="1">
      <c r="A163" s="44" t="s">
        <v>152</v>
      </c>
      <c r="B163" s="59" t="s">
        <v>39</v>
      </c>
      <c r="C163" s="59" t="s">
        <v>63</v>
      </c>
      <c r="D163" s="59" t="s">
        <v>6</v>
      </c>
      <c r="E163" s="61">
        <v>4</v>
      </c>
      <c r="F163" s="60">
        <v>600</v>
      </c>
      <c r="G163" s="91">
        <f>280+80-81.957-21.82018-10.44782</f>
        <v>245.775</v>
      </c>
      <c r="H163" s="91">
        <f>280+80-81.957-21.82018-10.44782</f>
        <v>245.775</v>
      </c>
      <c r="I163" s="91">
        <f t="shared" si="6"/>
        <v>100</v>
      </c>
    </row>
    <row r="164" spans="1:9" ht="86.25" customHeight="1">
      <c r="A164" s="44" t="s">
        <v>235</v>
      </c>
      <c r="B164" s="59" t="s">
        <v>39</v>
      </c>
      <c r="C164" s="59" t="s">
        <v>63</v>
      </c>
      <c r="D164" s="59" t="s">
        <v>200</v>
      </c>
      <c r="E164" s="61">
        <v>0</v>
      </c>
      <c r="F164" s="60"/>
      <c r="G164" s="91">
        <f>SUM(G165:G165)</f>
        <v>134.8218</v>
      </c>
      <c r="H164" s="91">
        <f>SUM(H165:H165)</f>
        <v>134.8218</v>
      </c>
      <c r="I164" s="91">
        <f t="shared" si="6"/>
        <v>100</v>
      </c>
    </row>
    <row r="165" spans="1:9" ht="27" customHeight="1">
      <c r="A165" s="44" t="s">
        <v>152</v>
      </c>
      <c r="B165" s="59" t="s">
        <v>39</v>
      </c>
      <c r="C165" s="59" t="s">
        <v>63</v>
      </c>
      <c r="D165" s="59" t="s">
        <v>200</v>
      </c>
      <c r="E165" s="61">
        <v>0</v>
      </c>
      <c r="F165" s="60">
        <v>600</v>
      </c>
      <c r="G165" s="91">
        <f>98.8+38.029-2.0072</f>
        <v>134.8218</v>
      </c>
      <c r="H165" s="91">
        <f>98.8+38.029-2.0072</f>
        <v>134.8218</v>
      </c>
      <c r="I165" s="91">
        <f t="shared" si="6"/>
        <v>100</v>
      </c>
    </row>
    <row r="166" spans="1:9" ht="36" outlineLevel="5">
      <c r="A166" s="44" t="s">
        <v>259</v>
      </c>
      <c r="B166" s="59" t="s">
        <v>39</v>
      </c>
      <c r="C166" s="59" t="s">
        <v>63</v>
      </c>
      <c r="D166" s="59" t="s">
        <v>19</v>
      </c>
      <c r="E166" s="61">
        <v>0</v>
      </c>
      <c r="F166" s="60"/>
      <c r="G166" s="91">
        <f>SUM(G167:G171)</f>
        <v>23331.66804</v>
      </c>
      <c r="H166" s="91">
        <f>SUM(H167:H171)</f>
        <v>23331.66804</v>
      </c>
      <c r="I166" s="91">
        <f t="shared" si="6"/>
        <v>100</v>
      </c>
    </row>
    <row r="167" spans="1:9" ht="24" outlineLevel="5">
      <c r="A167" s="44" t="s">
        <v>152</v>
      </c>
      <c r="B167" s="59" t="s">
        <v>39</v>
      </c>
      <c r="C167" s="59" t="s">
        <v>63</v>
      </c>
      <c r="D167" s="59" t="s">
        <v>19</v>
      </c>
      <c r="E167" s="61">
        <v>0</v>
      </c>
      <c r="F167" s="60">
        <v>600</v>
      </c>
      <c r="G167" s="91">
        <f>10192.4+50+706+56.858+6.51341+47.27556+325.84768</f>
        <v>11384.89465</v>
      </c>
      <c r="H167" s="91">
        <f>10192.4+50+706+56.858+6.51341+47.27556+325.84768</f>
        <v>11384.89465</v>
      </c>
      <c r="I167" s="91">
        <f t="shared" si="6"/>
        <v>100</v>
      </c>
    </row>
    <row r="168" spans="1:9" ht="33.75" customHeight="1" outlineLevel="5">
      <c r="A168" s="44" t="s">
        <v>145</v>
      </c>
      <c r="B168" s="59" t="s">
        <v>39</v>
      </c>
      <c r="C168" s="59" t="s">
        <v>63</v>
      </c>
      <c r="D168" s="59" t="s">
        <v>19</v>
      </c>
      <c r="E168" s="61">
        <v>0</v>
      </c>
      <c r="F168" s="60">
        <v>600</v>
      </c>
      <c r="G168" s="91">
        <f>15078-74.2+122.7-2795.9+142.9-549.6</f>
        <v>11923.9</v>
      </c>
      <c r="H168" s="91">
        <f>15078-74.2+122.7-2795.9+142.9-549.6</f>
        <v>11923.9</v>
      </c>
      <c r="I168" s="91">
        <f t="shared" si="6"/>
        <v>100</v>
      </c>
    </row>
    <row r="169" spans="1:9" ht="34.5" customHeight="1" hidden="1" outlineLevel="5">
      <c r="A169" s="44" t="s">
        <v>300</v>
      </c>
      <c r="B169" s="59" t="s">
        <v>39</v>
      </c>
      <c r="C169" s="59" t="s">
        <v>63</v>
      </c>
      <c r="D169" s="59" t="s">
        <v>19</v>
      </c>
      <c r="E169" s="61">
        <v>0</v>
      </c>
      <c r="F169" s="60">
        <v>600</v>
      </c>
      <c r="G169" s="91">
        <v>0</v>
      </c>
      <c r="H169" s="91">
        <v>0</v>
      </c>
      <c r="I169" s="91" t="e">
        <f t="shared" si="6"/>
        <v>#DIV/0!</v>
      </c>
    </row>
    <row r="170" spans="1:9" ht="29.25" customHeight="1" outlineLevel="5">
      <c r="A170" s="44" t="s">
        <v>156</v>
      </c>
      <c r="B170" s="59" t="s">
        <v>39</v>
      </c>
      <c r="C170" s="59" t="s">
        <v>63</v>
      </c>
      <c r="D170" s="59" t="s">
        <v>19</v>
      </c>
      <c r="E170" s="61">
        <v>0</v>
      </c>
      <c r="F170" s="60">
        <v>600</v>
      </c>
      <c r="G170" s="91">
        <f>24.1-1.22661</f>
        <v>22.87339</v>
      </c>
      <c r="H170" s="91">
        <f>24.1-1.22661</f>
        <v>22.87339</v>
      </c>
      <c r="I170" s="91">
        <f t="shared" si="6"/>
        <v>100</v>
      </c>
    </row>
    <row r="171" spans="1:9" ht="96" hidden="1" outlineLevel="5">
      <c r="A171" s="44" t="s">
        <v>271</v>
      </c>
      <c r="B171" s="59" t="s">
        <v>39</v>
      </c>
      <c r="C171" s="59" t="s">
        <v>63</v>
      </c>
      <c r="D171" s="59" t="s">
        <v>19</v>
      </c>
      <c r="E171" s="61">
        <v>0</v>
      </c>
      <c r="F171" s="60">
        <v>600</v>
      </c>
      <c r="G171" s="91">
        <v>0</v>
      </c>
      <c r="H171" s="91">
        <v>0</v>
      </c>
      <c r="I171" s="91" t="e">
        <f t="shared" si="6"/>
        <v>#DIV/0!</v>
      </c>
    </row>
    <row r="172" spans="1:9" ht="36" outlineLevel="5">
      <c r="A172" s="44" t="s">
        <v>311</v>
      </c>
      <c r="B172" s="59" t="s">
        <v>39</v>
      </c>
      <c r="C172" s="59" t="s">
        <v>63</v>
      </c>
      <c r="D172" s="59" t="s">
        <v>20</v>
      </c>
      <c r="E172" s="61">
        <v>0</v>
      </c>
      <c r="F172" s="104"/>
      <c r="G172" s="103">
        <f>SUM(G173)</f>
        <v>11531.81187</v>
      </c>
      <c r="H172" s="103">
        <f>SUM(H173)</f>
        <v>11424.21187</v>
      </c>
      <c r="I172" s="91">
        <f t="shared" si="6"/>
        <v>99.06692893351892</v>
      </c>
    </row>
    <row r="173" spans="1:9" ht="15.75" outlineLevel="5">
      <c r="A173" s="44" t="s">
        <v>303</v>
      </c>
      <c r="B173" s="59" t="s">
        <v>39</v>
      </c>
      <c r="C173" s="59" t="s">
        <v>63</v>
      </c>
      <c r="D173" s="59" t="s">
        <v>20</v>
      </c>
      <c r="E173" s="61">
        <v>1</v>
      </c>
      <c r="F173" s="104"/>
      <c r="G173" s="103">
        <f>SUM(G174:G178)</f>
        <v>11531.81187</v>
      </c>
      <c r="H173" s="103">
        <f>SUM(H174:H178)</f>
        <v>11424.21187</v>
      </c>
      <c r="I173" s="91">
        <f t="shared" si="6"/>
        <v>99.06692893351892</v>
      </c>
    </row>
    <row r="174" spans="1:9" ht="63.75" customHeight="1" outlineLevel="5">
      <c r="A174" s="44" t="s">
        <v>225</v>
      </c>
      <c r="B174" s="59" t="s">
        <v>39</v>
      </c>
      <c r="C174" s="59" t="s">
        <v>63</v>
      </c>
      <c r="D174" s="59" t="s">
        <v>20</v>
      </c>
      <c r="E174" s="61">
        <v>1</v>
      </c>
      <c r="F174" s="60">
        <v>600</v>
      </c>
      <c r="G174" s="91">
        <f>6706.3+2570-84.3-356.4-195.2-380.4</f>
        <v>8260</v>
      </c>
      <c r="H174" s="91">
        <f>6706.3+2570-84.3-356.4-195.2-380.4-107.6</f>
        <v>8152.4</v>
      </c>
      <c r="I174" s="91">
        <f t="shared" si="6"/>
        <v>98.69733656174333</v>
      </c>
    </row>
    <row r="175" spans="1:9" ht="36" hidden="1" outlineLevel="5">
      <c r="A175" s="44" t="s">
        <v>300</v>
      </c>
      <c r="B175" s="59" t="s">
        <v>39</v>
      </c>
      <c r="C175" s="59" t="s">
        <v>63</v>
      </c>
      <c r="D175" s="59" t="s">
        <v>20</v>
      </c>
      <c r="E175" s="61">
        <v>1</v>
      </c>
      <c r="F175" s="60">
        <v>600</v>
      </c>
      <c r="G175" s="91">
        <v>0</v>
      </c>
      <c r="H175" s="91">
        <v>0</v>
      </c>
      <c r="I175" s="91" t="e">
        <f t="shared" si="6"/>
        <v>#DIV/0!</v>
      </c>
    </row>
    <row r="176" spans="1:9" ht="24.75" customHeight="1" outlineLevel="5">
      <c r="A176" s="44" t="s">
        <v>152</v>
      </c>
      <c r="B176" s="59" t="s">
        <v>39</v>
      </c>
      <c r="C176" s="59" t="s">
        <v>63</v>
      </c>
      <c r="D176" s="59" t="s">
        <v>20</v>
      </c>
      <c r="E176" s="61">
        <v>1</v>
      </c>
      <c r="F176" s="60">
        <v>600</v>
      </c>
      <c r="G176" s="91">
        <f>2207.6+792.4+41-41+281+78.2+22.78274-73.88347-23.75951-12.52789</f>
        <v>3271.81187</v>
      </c>
      <c r="H176" s="91">
        <f>2207.6+792.4+41-41+281+78.2+22.78274-73.88347-23.75951-12.52789</f>
        <v>3271.81187</v>
      </c>
      <c r="I176" s="91">
        <f t="shared" si="6"/>
        <v>100</v>
      </c>
    </row>
    <row r="177" spans="1:9" ht="0.75" customHeight="1" hidden="1" outlineLevel="5">
      <c r="A177" s="44" t="s">
        <v>284</v>
      </c>
      <c r="B177" s="59" t="s">
        <v>39</v>
      </c>
      <c r="C177" s="59" t="s">
        <v>63</v>
      </c>
      <c r="D177" s="59" t="s">
        <v>20</v>
      </c>
      <c r="E177" s="61">
        <v>0</v>
      </c>
      <c r="F177" s="60">
        <v>600</v>
      </c>
      <c r="G177" s="91">
        <v>0</v>
      </c>
      <c r="H177" s="91">
        <v>0</v>
      </c>
      <c r="I177" s="91" t="e">
        <f t="shared" si="6"/>
        <v>#DIV/0!</v>
      </c>
    </row>
    <row r="178" spans="1:9" ht="44.25" customHeight="1" hidden="1" outlineLevel="5">
      <c r="A178" s="44" t="s">
        <v>292</v>
      </c>
      <c r="B178" s="59" t="s">
        <v>39</v>
      </c>
      <c r="C178" s="59" t="s">
        <v>63</v>
      </c>
      <c r="D178" s="59" t="s">
        <v>20</v>
      </c>
      <c r="E178" s="61">
        <v>0</v>
      </c>
      <c r="F178" s="60">
        <v>600</v>
      </c>
      <c r="G178" s="91">
        <v>0</v>
      </c>
      <c r="H178" s="91">
        <v>0</v>
      </c>
      <c r="I178" s="91" t="e">
        <f t="shared" si="6"/>
        <v>#DIV/0!</v>
      </c>
    </row>
    <row r="179" spans="1:9" ht="20.25" customHeight="1" outlineLevel="5">
      <c r="A179" s="44" t="s">
        <v>70</v>
      </c>
      <c r="B179" s="59" t="s">
        <v>39</v>
      </c>
      <c r="C179" s="59" t="s">
        <v>65</v>
      </c>
      <c r="D179" s="59"/>
      <c r="E179" s="61"/>
      <c r="F179" s="60"/>
      <c r="G179" s="103">
        <f>SUM(G180)</f>
        <v>194571.39222999997</v>
      </c>
      <c r="H179" s="103">
        <f>SUM(H180)</f>
        <v>194368.08683</v>
      </c>
      <c r="I179" s="91">
        <f t="shared" si="6"/>
        <v>99.89551115522694</v>
      </c>
    </row>
    <row r="180" spans="1:9" ht="23.25" customHeight="1" outlineLevel="5">
      <c r="A180" s="44" t="s">
        <v>66</v>
      </c>
      <c r="B180" s="59" t="s">
        <v>39</v>
      </c>
      <c r="C180" s="59" t="s">
        <v>65</v>
      </c>
      <c r="D180" s="59"/>
      <c r="E180" s="61"/>
      <c r="F180" s="60"/>
      <c r="G180" s="91">
        <f>SUM(G181+G195+G192+G189)</f>
        <v>194571.39222999997</v>
      </c>
      <c r="H180" s="91">
        <f>SUM(H181+H195+H192+H189)</f>
        <v>194368.08683</v>
      </c>
      <c r="I180" s="91">
        <f t="shared" si="6"/>
        <v>99.89551115522694</v>
      </c>
    </row>
    <row r="181" spans="1:9" ht="36" customHeight="1" outlineLevel="5">
      <c r="A181" s="44" t="s">
        <v>257</v>
      </c>
      <c r="B181" s="59" t="s">
        <v>39</v>
      </c>
      <c r="C181" s="59" t="s">
        <v>65</v>
      </c>
      <c r="D181" s="59" t="s">
        <v>6</v>
      </c>
      <c r="E181" s="61">
        <v>0</v>
      </c>
      <c r="F181" s="60"/>
      <c r="G181" s="91">
        <f>SUM(G182+G185)</f>
        <v>10838.37498</v>
      </c>
      <c r="H181" s="91">
        <f>SUM(H182+H185)</f>
        <v>10815.66071</v>
      </c>
      <c r="I181" s="91">
        <f t="shared" si="6"/>
        <v>99.79042734688626</v>
      </c>
    </row>
    <row r="182" spans="1:9" ht="24" outlineLevel="5">
      <c r="A182" s="44" t="s">
        <v>199</v>
      </c>
      <c r="B182" s="59" t="s">
        <v>39</v>
      </c>
      <c r="C182" s="59" t="s">
        <v>65</v>
      </c>
      <c r="D182" s="59" t="s">
        <v>6</v>
      </c>
      <c r="E182" s="61">
        <v>3</v>
      </c>
      <c r="F182" s="60"/>
      <c r="G182" s="91">
        <f>SUM(G183:G184)</f>
        <v>9398.12862</v>
      </c>
      <c r="H182" s="91">
        <f>SUM(H183:H184)</f>
        <v>9375.41435</v>
      </c>
      <c r="I182" s="91">
        <f t="shared" si="6"/>
        <v>99.75831071356416</v>
      </c>
    </row>
    <row r="183" spans="1:9" ht="24" hidden="1" outlineLevel="5">
      <c r="A183" s="44" t="s">
        <v>101</v>
      </c>
      <c r="B183" s="59" t="s">
        <v>39</v>
      </c>
      <c r="C183" s="59" t="s">
        <v>65</v>
      </c>
      <c r="D183" s="59" t="s">
        <v>6</v>
      </c>
      <c r="E183" s="61">
        <v>3</v>
      </c>
      <c r="F183" s="60">
        <v>200</v>
      </c>
      <c r="G183" s="91">
        <v>0</v>
      </c>
      <c r="H183" s="91">
        <v>0</v>
      </c>
      <c r="I183" s="91" t="e">
        <f t="shared" si="6"/>
        <v>#DIV/0!</v>
      </c>
    </row>
    <row r="184" spans="1:9" ht="24" outlineLevel="5">
      <c r="A184" s="44" t="s">
        <v>152</v>
      </c>
      <c r="B184" s="59" t="s">
        <v>39</v>
      </c>
      <c r="C184" s="59" t="s">
        <v>65</v>
      </c>
      <c r="D184" s="59" t="s">
        <v>6</v>
      </c>
      <c r="E184" s="61">
        <v>3</v>
      </c>
      <c r="F184" s="60">
        <v>600</v>
      </c>
      <c r="G184" s="91">
        <f>6000+263.1579+52.63158+599.174+13+939.9+19.18163+1423.02-0.941+90.2-1.19549</f>
        <v>9398.12862</v>
      </c>
      <c r="H184" s="91">
        <v>9375.41435</v>
      </c>
      <c r="I184" s="91">
        <f t="shared" si="6"/>
        <v>99.75831071356416</v>
      </c>
    </row>
    <row r="185" spans="1:9" ht="27" customHeight="1" outlineLevel="5">
      <c r="A185" s="44" t="s">
        <v>182</v>
      </c>
      <c r="B185" s="59" t="s">
        <v>39</v>
      </c>
      <c r="C185" s="59" t="s">
        <v>65</v>
      </c>
      <c r="D185" s="59" t="s">
        <v>6</v>
      </c>
      <c r="E185" s="61">
        <v>4</v>
      </c>
      <c r="F185" s="60"/>
      <c r="G185" s="91">
        <f>SUM(G186:G188)</f>
        <v>1440.24636</v>
      </c>
      <c r="H185" s="91">
        <f>SUM(H186:H188)</f>
        <v>1440.24636</v>
      </c>
      <c r="I185" s="91">
        <f t="shared" si="6"/>
        <v>100</v>
      </c>
    </row>
    <row r="186" spans="1:9" ht="24" customHeight="1" outlineLevel="5">
      <c r="A186" s="44" t="s">
        <v>101</v>
      </c>
      <c r="B186" s="59" t="s">
        <v>39</v>
      </c>
      <c r="C186" s="59" t="s">
        <v>65</v>
      </c>
      <c r="D186" s="59" t="s">
        <v>6</v>
      </c>
      <c r="E186" s="61">
        <v>4</v>
      </c>
      <c r="F186" s="60">
        <v>200</v>
      </c>
      <c r="G186" s="91">
        <f>38+27.239-27.239-17.688</f>
        <v>20.312</v>
      </c>
      <c r="H186" s="91">
        <f>38+27.239-27.239-17.688</f>
        <v>20.312</v>
      </c>
      <c r="I186" s="91">
        <f t="shared" si="6"/>
        <v>100</v>
      </c>
    </row>
    <row r="187" spans="1:9" ht="24" customHeight="1" outlineLevel="5">
      <c r="A187" s="44" t="s">
        <v>152</v>
      </c>
      <c r="B187" s="59" t="s">
        <v>39</v>
      </c>
      <c r="C187" s="59" t="s">
        <v>65</v>
      </c>
      <c r="D187" s="59" t="s">
        <v>6</v>
      </c>
      <c r="E187" s="61">
        <v>4</v>
      </c>
      <c r="F187" s="60">
        <v>600</v>
      </c>
      <c r="G187" s="91">
        <f>532+27.239-23.16482-96.2-54.4204-1-9.791-7.36</f>
        <v>367.30278000000004</v>
      </c>
      <c r="H187" s="91">
        <f>532+27.239-23.16482-96.2-54.4204-1-9.791-7.36</f>
        <v>367.30278000000004</v>
      </c>
      <c r="I187" s="91">
        <f t="shared" si="6"/>
        <v>100</v>
      </c>
    </row>
    <row r="188" spans="1:9" ht="60.75" customHeight="1" outlineLevel="5">
      <c r="A188" s="44" t="s">
        <v>283</v>
      </c>
      <c r="B188" s="59" t="s">
        <v>39</v>
      </c>
      <c r="C188" s="59" t="s">
        <v>65</v>
      </c>
      <c r="D188" s="59" t="s">
        <v>6</v>
      </c>
      <c r="E188" s="61">
        <v>4</v>
      </c>
      <c r="F188" s="60">
        <v>600</v>
      </c>
      <c r="G188" s="91">
        <f>1000+52.63158</f>
        <v>1052.63158</v>
      </c>
      <c r="H188" s="91">
        <f>1000+52.63158</f>
        <v>1052.63158</v>
      </c>
      <c r="I188" s="91">
        <f t="shared" si="6"/>
        <v>100</v>
      </c>
    </row>
    <row r="189" spans="1:9" ht="28.5" customHeight="1" hidden="1" outlineLevel="5">
      <c r="A189" s="44" t="s">
        <v>242</v>
      </c>
      <c r="B189" s="59" t="s">
        <v>39</v>
      </c>
      <c r="C189" s="59" t="s">
        <v>65</v>
      </c>
      <c r="D189" s="59" t="s">
        <v>18</v>
      </c>
      <c r="E189" s="61">
        <v>0</v>
      </c>
      <c r="F189" s="60"/>
      <c r="G189" s="91">
        <f>SUM(G190:G191)</f>
        <v>0</v>
      </c>
      <c r="H189" s="91">
        <f>SUM(H190:H191)</f>
        <v>0</v>
      </c>
      <c r="I189" s="91" t="e">
        <f t="shared" si="6"/>
        <v>#DIV/0!</v>
      </c>
    </row>
    <row r="190" spans="1:9" ht="61.5" customHeight="1" hidden="1" outlineLevel="5">
      <c r="A190" s="44" t="s">
        <v>287</v>
      </c>
      <c r="B190" s="59" t="s">
        <v>39</v>
      </c>
      <c r="C190" s="59" t="s">
        <v>65</v>
      </c>
      <c r="D190" s="59" t="s">
        <v>18</v>
      </c>
      <c r="E190" s="61">
        <v>0</v>
      </c>
      <c r="F190" s="60">
        <v>600</v>
      </c>
      <c r="G190" s="91">
        <v>0</v>
      </c>
      <c r="H190" s="91">
        <v>0</v>
      </c>
      <c r="I190" s="91" t="e">
        <f t="shared" si="6"/>
        <v>#DIV/0!</v>
      </c>
    </row>
    <row r="191" spans="1:9" ht="15.75" customHeight="1" hidden="1" outlineLevel="5">
      <c r="A191" s="44" t="s">
        <v>288</v>
      </c>
      <c r="B191" s="59" t="s">
        <v>39</v>
      </c>
      <c r="C191" s="59" t="s">
        <v>65</v>
      </c>
      <c r="D191" s="59" t="s">
        <v>18</v>
      </c>
      <c r="E191" s="61">
        <v>0</v>
      </c>
      <c r="F191" s="60">
        <v>600</v>
      </c>
      <c r="G191" s="91">
        <v>0</v>
      </c>
      <c r="H191" s="91">
        <v>0</v>
      </c>
      <c r="I191" s="91" t="e">
        <f t="shared" si="6"/>
        <v>#DIV/0!</v>
      </c>
    </row>
    <row r="192" spans="1:9" ht="47.25" customHeight="1" outlineLevel="3">
      <c r="A192" s="44" t="s">
        <v>235</v>
      </c>
      <c r="B192" s="59" t="s">
        <v>39</v>
      </c>
      <c r="C192" s="59" t="s">
        <v>65</v>
      </c>
      <c r="D192" s="59" t="s">
        <v>200</v>
      </c>
      <c r="E192" s="61">
        <v>0</v>
      </c>
      <c r="F192" s="60"/>
      <c r="G192" s="91">
        <f>SUM(G193:G194)</f>
        <v>900.2891999999999</v>
      </c>
      <c r="H192" s="91">
        <f>SUM(H193:H194)</f>
        <v>856.9402399999999</v>
      </c>
      <c r="I192" s="91">
        <f t="shared" si="6"/>
        <v>95.18499611013883</v>
      </c>
    </row>
    <row r="193" spans="1:9" ht="27.75" customHeight="1" outlineLevel="3">
      <c r="A193" s="44" t="s">
        <v>101</v>
      </c>
      <c r="B193" s="59" t="s">
        <v>39</v>
      </c>
      <c r="C193" s="59" t="s">
        <v>65</v>
      </c>
      <c r="D193" s="59" t="s">
        <v>200</v>
      </c>
      <c r="E193" s="61">
        <v>0</v>
      </c>
      <c r="F193" s="60">
        <v>200</v>
      </c>
      <c r="G193" s="91">
        <f>36+19.08+2.0832-17.74896</f>
        <v>39.41423999999999</v>
      </c>
      <c r="H193" s="91">
        <f>36+19.08+2.0832-17.74896</f>
        <v>39.41423999999999</v>
      </c>
      <c r="I193" s="91">
        <f t="shared" si="6"/>
        <v>100</v>
      </c>
    </row>
    <row r="194" spans="1:9" ht="24" outlineLevel="3">
      <c r="A194" s="44" t="s">
        <v>152</v>
      </c>
      <c r="B194" s="59" t="s">
        <v>39</v>
      </c>
      <c r="C194" s="59" t="s">
        <v>65</v>
      </c>
      <c r="D194" s="59" t="s">
        <v>200</v>
      </c>
      <c r="E194" s="61">
        <v>0</v>
      </c>
      <c r="F194" s="60">
        <v>600</v>
      </c>
      <c r="G194" s="91">
        <f>766+77.202-0.076+17.74896</f>
        <v>860.87496</v>
      </c>
      <c r="H194" s="91">
        <v>817.526</v>
      </c>
      <c r="I194" s="91">
        <f t="shared" si="6"/>
        <v>94.96454630298457</v>
      </c>
    </row>
    <row r="195" spans="1:9" ht="36" outlineLevel="3">
      <c r="A195" s="44" t="s">
        <v>311</v>
      </c>
      <c r="B195" s="59" t="s">
        <v>39</v>
      </c>
      <c r="C195" s="59" t="s">
        <v>65</v>
      </c>
      <c r="D195" s="59" t="s">
        <v>20</v>
      </c>
      <c r="E195" s="61">
        <v>0</v>
      </c>
      <c r="F195" s="104"/>
      <c r="G195" s="103">
        <f>SUM(G196)</f>
        <v>182832.72804999998</v>
      </c>
      <c r="H195" s="103">
        <f>SUM(H196)</f>
        <v>182695.48588</v>
      </c>
      <c r="I195" s="91">
        <f t="shared" si="6"/>
        <v>99.92493566580572</v>
      </c>
    </row>
    <row r="196" spans="1:9" ht="15.75" outlineLevel="3">
      <c r="A196" s="44" t="s">
        <v>304</v>
      </c>
      <c r="B196" s="59" t="s">
        <v>39</v>
      </c>
      <c r="C196" s="59" t="s">
        <v>65</v>
      </c>
      <c r="D196" s="59" t="s">
        <v>20</v>
      </c>
      <c r="E196" s="61">
        <v>2</v>
      </c>
      <c r="F196" s="104"/>
      <c r="G196" s="103">
        <f>SUM(G197+G204)</f>
        <v>182832.72804999998</v>
      </c>
      <c r="H196" s="103">
        <f>SUM(H197+H204)</f>
        <v>182695.48588</v>
      </c>
      <c r="I196" s="91">
        <f t="shared" si="6"/>
        <v>99.92493566580572</v>
      </c>
    </row>
    <row r="197" spans="1:9" ht="18" customHeight="1" outlineLevel="3">
      <c r="A197" s="44" t="s">
        <v>69</v>
      </c>
      <c r="B197" s="59" t="s">
        <v>39</v>
      </c>
      <c r="C197" s="59" t="s">
        <v>65</v>
      </c>
      <c r="D197" s="59" t="s">
        <v>20</v>
      </c>
      <c r="E197" s="61">
        <v>2</v>
      </c>
      <c r="F197" s="60"/>
      <c r="G197" s="91">
        <f>SUM(G198:G203)</f>
        <v>24879.352490000005</v>
      </c>
      <c r="H197" s="91">
        <f>SUM(H198:H203)</f>
        <v>24876.265530000004</v>
      </c>
      <c r="I197" s="91">
        <f t="shared" si="6"/>
        <v>99.98759228158674</v>
      </c>
    </row>
    <row r="198" spans="1:9" ht="47.25" customHeight="1" outlineLevel="3">
      <c r="A198" s="44" t="s">
        <v>100</v>
      </c>
      <c r="B198" s="59" t="s">
        <v>39</v>
      </c>
      <c r="C198" s="59" t="s">
        <v>65</v>
      </c>
      <c r="D198" s="59" t="s">
        <v>20</v>
      </c>
      <c r="E198" s="61">
        <v>2</v>
      </c>
      <c r="F198" s="60">
        <v>100</v>
      </c>
      <c r="G198" s="91">
        <f>27.1+300+15-4.82807-4.54968-22.6633</f>
        <v>310.05895</v>
      </c>
      <c r="H198" s="91">
        <f>27.1+300+15-4.82807-4.54968-22.6633</f>
        <v>310.05895</v>
      </c>
      <c r="I198" s="91">
        <f t="shared" si="6"/>
        <v>100</v>
      </c>
    </row>
    <row r="199" spans="1:9" ht="24" outlineLevel="3">
      <c r="A199" s="44" t="s">
        <v>101</v>
      </c>
      <c r="B199" s="59" t="s">
        <v>39</v>
      </c>
      <c r="C199" s="59" t="s">
        <v>65</v>
      </c>
      <c r="D199" s="59" t="s">
        <v>20</v>
      </c>
      <c r="E199" s="61">
        <v>2</v>
      </c>
      <c r="F199" s="60">
        <v>200</v>
      </c>
      <c r="G199" s="91">
        <f>1147.4+264-10-15-248.46503+4.46-95.04671+2.45468-2.22736-139.32084</f>
        <v>908.25474</v>
      </c>
      <c r="H199" s="91">
        <f>1147.4+264-10-15-248.46503+4.46-95.04671+2.45468-2.22736-139.32084</f>
        <v>908.25474</v>
      </c>
      <c r="I199" s="91">
        <f t="shared" si="6"/>
        <v>100</v>
      </c>
    </row>
    <row r="200" spans="1:9" ht="48" outlineLevel="3">
      <c r="A200" s="44" t="s">
        <v>298</v>
      </c>
      <c r="B200" s="59" t="s">
        <v>39</v>
      </c>
      <c r="C200" s="59" t="s">
        <v>65</v>
      </c>
      <c r="D200" s="59" t="s">
        <v>20</v>
      </c>
      <c r="E200" s="61">
        <v>2</v>
      </c>
      <c r="F200" s="60">
        <v>200</v>
      </c>
      <c r="G200" s="91">
        <f>24.1-0.0744+2.98191+1.5256</f>
        <v>28.53311</v>
      </c>
      <c r="H200" s="91">
        <v>25.44615</v>
      </c>
      <c r="I200" s="91">
        <f t="shared" si="6"/>
        <v>89.18113027286545</v>
      </c>
    </row>
    <row r="201" spans="1:9" ht="15.75" outlineLevel="3">
      <c r="A201" s="44" t="s">
        <v>141</v>
      </c>
      <c r="B201" s="59" t="s">
        <v>39</v>
      </c>
      <c r="C201" s="59" t="s">
        <v>65</v>
      </c>
      <c r="D201" s="59" t="s">
        <v>20</v>
      </c>
      <c r="E201" s="61">
        <v>2</v>
      </c>
      <c r="F201" s="60">
        <v>800</v>
      </c>
      <c r="G201" s="91">
        <f>50.2+10-5.88129-9.75636</f>
        <v>44.56235</v>
      </c>
      <c r="H201" s="91">
        <f>50.2+10-5.88129-9.75636</f>
        <v>44.56235</v>
      </c>
      <c r="I201" s="91">
        <f t="shared" si="6"/>
        <v>100</v>
      </c>
    </row>
    <row r="202" spans="1:9" ht="29.25" customHeight="1" outlineLevel="3">
      <c r="A202" s="44" t="s">
        <v>152</v>
      </c>
      <c r="B202" s="59" t="s">
        <v>39</v>
      </c>
      <c r="C202" s="59" t="s">
        <v>65</v>
      </c>
      <c r="D202" s="59" t="s">
        <v>20</v>
      </c>
      <c r="E202" s="61">
        <v>2</v>
      </c>
      <c r="F202" s="60">
        <v>600</v>
      </c>
      <c r="G202" s="91">
        <f>17111.4+1888.6+387+159.6+70+150+141+950+523+254.34632+62.45+0.36807+39.487-78.2+82.02033+28.70291-34.68338+20.43215-69.48264</f>
        <v>21686.040760000004</v>
      </c>
      <c r="H202" s="91">
        <f>17111.4+1888.6+387+159.6+70+150+141+950+523+254.34632+62.45+0.36807+39.487-78.2+82.02033+28.70291-34.68338+20.43215-69.48264</f>
        <v>21686.040760000004</v>
      </c>
      <c r="I202" s="91">
        <f aca="true" t="shared" si="7" ref="I202:I265">SUM(H202/G202)*100</f>
        <v>100</v>
      </c>
    </row>
    <row r="203" spans="1:9" ht="52.5" customHeight="1" outlineLevel="3">
      <c r="A203" s="44" t="s">
        <v>323</v>
      </c>
      <c r="B203" s="59" t="s">
        <v>39</v>
      </c>
      <c r="C203" s="59" t="s">
        <v>65</v>
      </c>
      <c r="D203" s="59" t="s">
        <v>20</v>
      </c>
      <c r="E203" s="61">
        <v>2</v>
      </c>
      <c r="F203" s="60">
        <v>600</v>
      </c>
      <c r="G203" s="91">
        <f>1892.3+14.03569+0.0744-2.98191-1.5256</f>
        <v>1901.90258</v>
      </c>
      <c r="H203" s="91">
        <f>1892.3+14.03569+0.0744-2.98191-1.5256</f>
        <v>1901.90258</v>
      </c>
      <c r="I203" s="91">
        <f t="shared" si="7"/>
        <v>100</v>
      </c>
    </row>
    <row r="204" spans="1:9" ht="18.75" customHeight="1" outlineLevel="3">
      <c r="A204" s="44" t="s">
        <v>157</v>
      </c>
      <c r="B204" s="59" t="s">
        <v>39</v>
      </c>
      <c r="C204" s="59" t="s">
        <v>65</v>
      </c>
      <c r="D204" s="59" t="s">
        <v>20</v>
      </c>
      <c r="E204" s="61">
        <v>2</v>
      </c>
      <c r="F204" s="60"/>
      <c r="G204" s="91">
        <f>SUM(G205:G217)</f>
        <v>157953.37555999996</v>
      </c>
      <c r="H204" s="91">
        <f>SUM(H205:H217)</f>
        <v>157819.22035</v>
      </c>
      <c r="I204" s="91">
        <f t="shared" si="7"/>
        <v>99.91506657611822</v>
      </c>
    </row>
    <row r="205" spans="1:9" ht="46.5" customHeight="1" outlineLevel="3">
      <c r="A205" s="44" t="s">
        <v>100</v>
      </c>
      <c r="B205" s="59" t="s">
        <v>39</v>
      </c>
      <c r="C205" s="59" t="s">
        <v>65</v>
      </c>
      <c r="D205" s="59" t="s">
        <v>20</v>
      </c>
      <c r="E205" s="61">
        <v>2</v>
      </c>
      <c r="F205" s="60">
        <v>100</v>
      </c>
      <c r="G205" s="91">
        <f>3873+2277.2+866.8-74.4-1056.6+857.1-137.8681</f>
        <v>6605.231900000001</v>
      </c>
      <c r="H205" s="91">
        <f>3873+2277.2+866.8-74.4-1056.6+857.1-137.8681</f>
        <v>6605.231900000001</v>
      </c>
      <c r="I205" s="91">
        <f t="shared" si="7"/>
        <v>100</v>
      </c>
    </row>
    <row r="206" spans="1:9" ht="36" hidden="1" outlineLevel="3">
      <c r="A206" s="44" t="s">
        <v>299</v>
      </c>
      <c r="B206" s="59" t="s">
        <v>39</v>
      </c>
      <c r="C206" s="59" t="s">
        <v>65</v>
      </c>
      <c r="D206" s="59" t="s">
        <v>20</v>
      </c>
      <c r="E206" s="61">
        <v>2</v>
      </c>
      <c r="F206" s="60">
        <v>100</v>
      </c>
      <c r="G206" s="91">
        <v>0</v>
      </c>
      <c r="H206" s="91">
        <v>0</v>
      </c>
      <c r="I206" s="91" t="e">
        <f t="shared" si="7"/>
        <v>#DIV/0!</v>
      </c>
    </row>
    <row r="207" spans="1:9" ht="36" outlineLevel="3">
      <c r="A207" s="44" t="s">
        <v>294</v>
      </c>
      <c r="B207" s="59" t="s">
        <v>39</v>
      </c>
      <c r="C207" s="59" t="s">
        <v>65</v>
      </c>
      <c r="D207" s="59" t="s">
        <v>20</v>
      </c>
      <c r="E207" s="61">
        <v>2</v>
      </c>
      <c r="F207" s="60">
        <v>100</v>
      </c>
      <c r="G207" s="91">
        <f>781.2-63.64345-75.65831+66.71</f>
        <v>708.60824</v>
      </c>
      <c r="H207" s="91">
        <f>781.2-63.64345-75.65831+66.71</f>
        <v>708.60824</v>
      </c>
      <c r="I207" s="91">
        <f t="shared" si="7"/>
        <v>100</v>
      </c>
    </row>
    <row r="208" spans="1:9" ht="27" customHeight="1" outlineLevel="3">
      <c r="A208" s="44" t="s">
        <v>101</v>
      </c>
      <c r="B208" s="59" t="s">
        <v>39</v>
      </c>
      <c r="C208" s="59" t="s">
        <v>65</v>
      </c>
      <c r="D208" s="59" t="s">
        <v>20</v>
      </c>
      <c r="E208" s="61">
        <v>2</v>
      </c>
      <c r="F208" s="60">
        <v>200</v>
      </c>
      <c r="G208" s="91">
        <f>522+0.6-79.6-254-6.2894-79.75419</f>
        <v>102.95641</v>
      </c>
      <c r="H208" s="91">
        <f>522+0.6-79.6-254-6.2894-79.75419</f>
        <v>102.95641</v>
      </c>
      <c r="I208" s="91">
        <f t="shared" si="7"/>
        <v>100</v>
      </c>
    </row>
    <row r="209" spans="1:9" ht="16.5" customHeight="1" outlineLevel="3">
      <c r="A209" s="44" t="s">
        <v>68</v>
      </c>
      <c r="B209" s="59" t="s">
        <v>39</v>
      </c>
      <c r="C209" s="59" t="s">
        <v>65</v>
      </c>
      <c r="D209" s="59" t="s">
        <v>20</v>
      </c>
      <c r="E209" s="61">
        <v>2</v>
      </c>
      <c r="F209" s="60">
        <v>200</v>
      </c>
      <c r="G209" s="91">
        <f>105.45+12.35-43.8-7.53781-9.03145</f>
        <v>57.43073999999999</v>
      </c>
      <c r="H209" s="91">
        <f>105.45+12.35-43.8-7.53781-9.03145</f>
        <v>57.43073999999999</v>
      </c>
      <c r="I209" s="91">
        <f t="shared" si="7"/>
        <v>100</v>
      </c>
    </row>
    <row r="210" spans="1:9" ht="34.5" customHeight="1" outlineLevel="3">
      <c r="A210" s="44" t="s">
        <v>297</v>
      </c>
      <c r="B210" s="59" t="s">
        <v>39</v>
      </c>
      <c r="C210" s="59" t="s">
        <v>65</v>
      </c>
      <c r="D210" s="59" t="s">
        <v>20</v>
      </c>
      <c r="E210" s="61">
        <v>2</v>
      </c>
      <c r="F210" s="60">
        <v>200</v>
      </c>
      <c r="G210" s="91">
        <f>74-0.2189+8.14322+11.74628</f>
        <v>93.6706</v>
      </c>
      <c r="H210" s="91">
        <v>84.19878</v>
      </c>
      <c r="I210" s="91">
        <f t="shared" si="7"/>
        <v>89.88816128006013</v>
      </c>
    </row>
    <row r="211" spans="1:9" ht="48" outlineLevel="3">
      <c r="A211" s="44" t="s">
        <v>317</v>
      </c>
      <c r="B211" s="59" t="s">
        <v>39</v>
      </c>
      <c r="C211" s="59" t="s">
        <v>65</v>
      </c>
      <c r="D211" s="59" t="s">
        <v>20</v>
      </c>
      <c r="E211" s="61">
        <v>2</v>
      </c>
      <c r="F211" s="60">
        <v>600</v>
      </c>
      <c r="G211" s="91">
        <f>5873.8-74+49.44895+0.2189-8.14322-11.74628</f>
        <v>5829.57835</v>
      </c>
      <c r="H211" s="91">
        <v>5829.57835</v>
      </c>
      <c r="I211" s="91">
        <f t="shared" si="7"/>
        <v>100</v>
      </c>
    </row>
    <row r="212" spans="1:9" ht="15.75" customHeight="1" outlineLevel="3">
      <c r="A212" s="44" t="s">
        <v>67</v>
      </c>
      <c r="B212" s="59" t="s">
        <v>39</v>
      </c>
      <c r="C212" s="59" t="s">
        <v>65</v>
      </c>
      <c r="D212" s="59" t="s">
        <v>20</v>
      </c>
      <c r="E212" s="61">
        <v>2</v>
      </c>
      <c r="F212" s="60">
        <v>600</v>
      </c>
      <c r="G212" s="91">
        <f>116621.2+5473.3+74.4-0.6+413.6+79.6+1056.6-603.1+3949.4+6.2894+137.8681+79.75419+189.9</f>
        <v>127478.21169</v>
      </c>
      <c r="H212" s="91">
        <v>127478.1283</v>
      </c>
      <c r="I212" s="91">
        <f t="shared" si="7"/>
        <v>99.99993458489973</v>
      </c>
    </row>
    <row r="213" spans="1:9" ht="1.5" customHeight="1" hidden="1" outlineLevel="3">
      <c r="A213" s="44" t="s">
        <v>300</v>
      </c>
      <c r="B213" s="59" t="s">
        <v>39</v>
      </c>
      <c r="C213" s="59" t="s">
        <v>65</v>
      </c>
      <c r="D213" s="59" t="s">
        <v>20</v>
      </c>
      <c r="E213" s="61">
        <v>2</v>
      </c>
      <c r="F213" s="60">
        <v>600</v>
      </c>
      <c r="G213" s="91">
        <v>0</v>
      </c>
      <c r="H213" s="91">
        <v>0</v>
      </c>
      <c r="I213" s="91" t="e">
        <f t="shared" si="7"/>
        <v>#DIV/0!</v>
      </c>
    </row>
    <row r="214" spans="1:9" ht="36" outlineLevel="3">
      <c r="A214" s="44" t="s">
        <v>294</v>
      </c>
      <c r="B214" s="59" t="s">
        <v>39</v>
      </c>
      <c r="C214" s="59" t="s">
        <v>65</v>
      </c>
      <c r="D214" s="59" t="s">
        <v>20</v>
      </c>
      <c r="E214" s="61">
        <v>2</v>
      </c>
      <c r="F214" s="60">
        <v>600</v>
      </c>
      <c r="G214" s="91">
        <f>11327.4-781.2+63.64345+75.65831+2085-66.71</f>
        <v>12703.79176</v>
      </c>
      <c r="H214" s="91">
        <f>11327.4-781.2+63.64345+75.65831+2085-66.71</f>
        <v>12703.79176</v>
      </c>
      <c r="I214" s="91">
        <f t="shared" si="7"/>
        <v>100</v>
      </c>
    </row>
    <row r="215" spans="1:9" ht="14.25" customHeight="1" outlineLevel="3">
      <c r="A215" s="44" t="s">
        <v>68</v>
      </c>
      <c r="B215" s="59" t="s">
        <v>39</v>
      </c>
      <c r="C215" s="59" t="s">
        <v>65</v>
      </c>
      <c r="D215" s="59" t="s">
        <v>20</v>
      </c>
      <c r="E215" s="61">
        <v>2</v>
      </c>
      <c r="F215" s="60">
        <v>600</v>
      </c>
      <c r="G215" s="91">
        <f>3505.35+1007.8-12.35-243.9+43.8-0.005+446.683+7.53781-671.378+9.03145</f>
        <v>4092.5692599999993</v>
      </c>
      <c r="H215" s="91">
        <f>3505.35+1007.8-12.35-243.9+43.8-0.005+446.683+7.53781-671.378+9.03145</f>
        <v>4092.5692599999993</v>
      </c>
      <c r="I215" s="91">
        <f t="shared" si="7"/>
        <v>100</v>
      </c>
    </row>
    <row r="216" spans="1:9" ht="27.75" customHeight="1" hidden="1" outlineLevel="3">
      <c r="A216" s="44" t="s">
        <v>312</v>
      </c>
      <c r="B216" s="59" t="s">
        <v>39</v>
      </c>
      <c r="C216" s="59" t="s">
        <v>65</v>
      </c>
      <c r="D216" s="59" t="s">
        <v>20</v>
      </c>
      <c r="E216" s="61">
        <v>2</v>
      </c>
      <c r="F216" s="60">
        <v>600</v>
      </c>
      <c r="G216" s="91">
        <f>200-200</f>
        <v>0</v>
      </c>
      <c r="H216" s="91">
        <f>200-200</f>
        <v>0</v>
      </c>
      <c r="I216" s="91" t="e">
        <f t="shared" si="7"/>
        <v>#DIV/0!</v>
      </c>
    </row>
    <row r="217" spans="1:9" ht="24" customHeight="1" outlineLevel="3">
      <c r="A217" s="44" t="s">
        <v>156</v>
      </c>
      <c r="B217" s="59" t="s">
        <v>39</v>
      </c>
      <c r="C217" s="59" t="s">
        <v>65</v>
      </c>
      <c r="D217" s="59" t="s">
        <v>20</v>
      </c>
      <c r="E217" s="61">
        <v>2</v>
      </c>
      <c r="F217" s="60">
        <v>600</v>
      </c>
      <c r="G217" s="91">
        <f>304.2-24.1+1.22661</f>
        <v>281.32660999999996</v>
      </c>
      <c r="H217" s="91">
        <v>156.72661</v>
      </c>
      <c r="I217" s="91">
        <f t="shared" si="7"/>
        <v>55.709842023120395</v>
      </c>
    </row>
    <row r="218" spans="1:9" ht="13.5" customHeight="1" outlineLevel="1">
      <c r="A218" s="44" t="s">
        <v>204</v>
      </c>
      <c r="B218" s="59" t="s">
        <v>39</v>
      </c>
      <c r="C218" s="59" t="s">
        <v>205</v>
      </c>
      <c r="D218" s="59"/>
      <c r="E218" s="61"/>
      <c r="F218" s="60"/>
      <c r="G218" s="91">
        <f>SUM(G222+G219)</f>
        <v>11039.139210000001</v>
      </c>
      <c r="H218" s="91">
        <f>SUM(H222+H219)</f>
        <v>11039.139210000001</v>
      </c>
      <c r="I218" s="91">
        <f t="shared" si="7"/>
        <v>100</v>
      </c>
    </row>
    <row r="219" spans="1:9" ht="0.75" customHeight="1" hidden="1" outlineLevel="1">
      <c r="A219" s="44" t="s">
        <v>257</v>
      </c>
      <c r="B219" s="59" t="s">
        <v>39</v>
      </c>
      <c r="C219" s="59" t="s">
        <v>205</v>
      </c>
      <c r="D219" s="59" t="s">
        <v>6</v>
      </c>
      <c r="E219" s="61">
        <v>0</v>
      </c>
      <c r="F219" s="60"/>
      <c r="G219" s="91">
        <f>SUM(G220)</f>
        <v>0</v>
      </c>
      <c r="H219" s="91">
        <f>SUM(H220)</f>
        <v>0</v>
      </c>
      <c r="I219" s="91" t="e">
        <f t="shared" si="7"/>
        <v>#DIV/0!</v>
      </c>
    </row>
    <row r="220" spans="1:9" ht="24" hidden="1" outlineLevel="1">
      <c r="A220" s="44" t="s">
        <v>199</v>
      </c>
      <c r="B220" s="59" t="s">
        <v>39</v>
      </c>
      <c r="C220" s="59" t="s">
        <v>205</v>
      </c>
      <c r="D220" s="59" t="s">
        <v>6</v>
      </c>
      <c r="E220" s="61">
        <v>3</v>
      </c>
      <c r="F220" s="60"/>
      <c r="G220" s="91">
        <f>SUM(G221:G221)</f>
        <v>0</v>
      </c>
      <c r="H220" s="91">
        <f>SUM(H221:H221)</f>
        <v>0</v>
      </c>
      <c r="I220" s="91" t="e">
        <f t="shared" si="7"/>
        <v>#DIV/0!</v>
      </c>
    </row>
    <row r="221" spans="1:9" ht="24" hidden="1" outlineLevel="1">
      <c r="A221" s="44" t="s">
        <v>152</v>
      </c>
      <c r="B221" s="59" t="s">
        <v>39</v>
      </c>
      <c r="C221" s="59" t="s">
        <v>205</v>
      </c>
      <c r="D221" s="59" t="s">
        <v>6</v>
      </c>
      <c r="E221" s="61">
        <v>3</v>
      </c>
      <c r="F221" s="60">
        <v>600</v>
      </c>
      <c r="G221" s="91">
        <v>0</v>
      </c>
      <c r="H221" s="91">
        <v>0</v>
      </c>
      <c r="I221" s="91" t="e">
        <f t="shared" si="7"/>
        <v>#DIV/0!</v>
      </c>
    </row>
    <row r="222" spans="1:9" ht="39.75" customHeight="1" outlineLevel="1">
      <c r="A222" s="44" t="s">
        <v>311</v>
      </c>
      <c r="B222" s="59" t="s">
        <v>39</v>
      </c>
      <c r="C222" s="59" t="s">
        <v>205</v>
      </c>
      <c r="D222" s="59" t="s">
        <v>20</v>
      </c>
      <c r="E222" s="61">
        <v>0</v>
      </c>
      <c r="F222" s="60"/>
      <c r="G222" s="91">
        <f>SUM(G223)</f>
        <v>11039.139210000001</v>
      </c>
      <c r="H222" s="91">
        <f>SUM(H223)</f>
        <v>11039.139210000001</v>
      </c>
      <c r="I222" s="91">
        <f t="shared" si="7"/>
        <v>100</v>
      </c>
    </row>
    <row r="223" spans="1:9" ht="20.25" customHeight="1" outlineLevel="1">
      <c r="A223" s="44" t="s">
        <v>305</v>
      </c>
      <c r="B223" s="59" t="s">
        <v>39</v>
      </c>
      <c r="C223" s="59" t="s">
        <v>205</v>
      </c>
      <c r="D223" s="59" t="s">
        <v>20</v>
      </c>
      <c r="E223" s="61">
        <v>3</v>
      </c>
      <c r="F223" s="60"/>
      <c r="G223" s="91">
        <f>SUM(G224:G225)</f>
        <v>11039.139210000001</v>
      </c>
      <c r="H223" s="91">
        <f>SUM(H224:H225)</f>
        <v>11039.139210000001</v>
      </c>
      <c r="I223" s="91">
        <f t="shared" si="7"/>
        <v>100</v>
      </c>
    </row>
    <row r="224" spans="1:9" ht="28.5" customHeight="1" outlineLevel="1">
      <c r="A224" s="44" t="s">
        <v>316</v>
      </c>
      <c r="B224" s="59" t="s">
        <v>39</v>
      </c>
      <c r="C224" s="59" t="s">
        <v>205</v>
      </c>
      <c r="D224" s="59" t="s">
        <v>20</v>
      </c>
      <c r="E224" s="61">
        <v>3</v>
      </c>
      <c r="F224" s="60">
        <v>600</v>
      </c>
      <c r="G224" s="91">
        <f>4300+1500+7.73159+127.63788+160.26432+83.923-83.923+2.874+85.884+4</f>
        <v>6188.391790000001</v>
      </c>
      <c r="H224" s="91">
        <f>4300+1500+7.73159+127.63788+160.26432+83.923-83.923+2.874+85.884+4</f>
        <v>6188.391790000001</v>
      </c>
      <c r="I224" s="91">
        <f t="shared" si="7"/>
        <v>100</v>
      </c>
    </row>
    <row r="225" spans="1:9" ht="24" customHeight="1" outlineLevel="1">
      <c r="A225" s="44" t="s">
        <v>315</v>
      </c>
      <c r="B225" s="59" t="s">
        <v>39</v>
      </c>
      <c r="C225" s="59" t="s">
        <v>205</v>
      </c>
      <c r="D225" s="59" t="s">
        <v>20</v>
      </c>
      <c r="E225" s="61">
        <v>3</v>
      </c>
      <c r="F225" s="60">
        <v>600</v>
      </c>
      <c r="G225" s="91">
        <f>4100+300+101.4+150+1.40577+85.19559+24.12082+88.62524</f>
        <v>4850.747420000001</v>
      </c>
      <c r="H225" s="91">
        <f>4100+300+101.4+150+1.40577+85.19559+24.12082+88.62524</f>
        <v>4850.747420000001</v>
      </c>
      <c r="I225" s="91">
        <f t="shared" si="7"/>
        <v>100</v>
      </c>
    </row>
    <row r="226" spans="1:9" ht="15" customHeight="1" outlineLevel="1">
      <c r="A226" s="45" t="s">
        <v>310</v>
      </c>
      <c r="B226" s="59" t="s">
        <v>39</v>
      </c>
      <c r="C226" s="59" t="s">
        <v>71</v>
      </c>
      <c r="D226" s="59" t="s">
        <v>0</v>
      </c>
      <c r="E226" s="61" t="s">
        <v>0</v>
      </c>
      <c r="F226" s="60"/>
      <c r="G226" s="91">
        <f>SUM(G227+G236+G238)</f>
        <v>7294.855039999999</v>
      </c>
      <c r="H226" s="91">
        <f>SUM(H227+H236+H238)</f>
        <v>6939.475039999999</v>
      </c>
      <c r="I226" s="91">
        <f t="shared" si="7"/>
        <v>95.12834733450715</v>
      </c>
    </row>
    <row r="227" spans="1:9" ht="60" outlineLevel="1">
      <c r="A227" s="45" t="s">
        <v>240</v>
      </c>
      <c r="B227" s="59" t="s">
        <v>39</v>
      </c>
      <c r="C227" s="59" t="s">
        <v>71</v>
      </c>
      <c r="D227" s="59" t="s">
        <v>24</v>
      </c>
      <c r="E227" s="61">
        <v>0</v>
      </c>
      <c r="F227" s="60"/>
      <c r="G227" s="91">
        <f>SUM(G228+G230+G232)</f>
        <v>100</v>
      </c>
      <c r="H227" s="91">
        <f>SUM(H228+H230+H232)</f>
        <v>100</v>
      </c>
      <c r="I227" s="91">
        <f t="shared" si="7"/>
        <v>100</v>
      </c>
    </row>
    <row r="228" spans="1:9" ht="24" customHeight="1" outlineLevel="3">
      <c r="A228" s="44" t="s">
        <v>158</v>
      </c>
      <c r="B228" s="59" t="s">
        <v>39</v>
      </c>
      <c r="C228" s="59" t="s">
        <v>71</v>
      </c>
      <c r="D228" s="59" t="s">
        <v>24</v>
      </c>
      <c r="E228" s="61">
        <v>1</v>
      </c>
      <c r="F228" s="60"/>
      <c r="G228" s="91">
        <f>SUM(G229)</f>
        <v>30</v>
      </c>
      <c r="H228" s="91">
        <f>SUM(H229)</f>
        <v>30</v>
      </c>
      <c r="I228" s="91">
        <f t="shared" si="7"/>
        <v>100</v>
      </c>
    </row>
    <row r="229" spans="1:9" ht="21.75" customHeight="1" outlineLevel="3">
      <c r="A229" s="44" t="s">
        <v>101</v>
      </c>
      <c r="B229" s="59" t="s">
        <v>39</v>
      </c>
      <c r="C229" s="59" t="s">
        <v>71</v>
      </c>
      <c r="D229" s="59" t="s">
        <v>24</v>
      </c>
      <c r="E229" s="61">
        <v>1</v>
      </c>
      <c r="F229" s="60">
        <v>200</v>
      </c>
      <c r="G229" s="91">
        <f>50-20</f>
        <v>30</v>
      </c>
      <c r="H229" s="91">
        <f>50-20</f>
        <v>30</v>
      </c>
      <c r="I229" s="91">
        <f t="shared" si="7"/>
        <v>100</v>
      </c>
    </row>
    <row r="230" spans="1:9" s="15" customFormat="1" ht="29.25" customHeight="1" outlineLevel="2">
      <c r="A230" s="44" t="s">
        <v>159</v>
      </c>
      <c r="B230" s="59" t="s">
        <v>39</v>
      </c>
      <c r="C230" s="59" t="s">
        <v>71</v>
      </c>
      <c r="D230" s="59" t="s">
        <v>24</v>
      </c>
      <c r="E230" s="61">
        <v>2</v>
      </c>
      <c r="F230" s="60"/>
      <c r="G230" s="91">
        <f>SUM(G231:G231)</f>
        <v>40</v>
      </c>
      <c r="H230" s="91">
        <f>SUM(H231:H231)</f>
        <v>40</v>
      </c>
      <c r="I230" s="91">
        <f t="shared" si="7"/>
        <v>100</v>
      </c>
    </row>
    <row r="231" spans="1:9" s="15" customFormat="1" ht="27.75" customHeight="1" outlineLevel="2">
      <c r="A231" s="44" t="s">
        <v>101</v>
      </c>
      <c r="B231" s="59" t="s">
        <v>39</v>
      </c>
      <c r="C231" s="59" t="s">
        <v>71</v>
      </c>
      <c r="D231" s="59" t="s">
        <v>24</v>
      </c>
      <c r="E231" s="61">
        <v>2</v>
      </c>
      <c r="F231" s="60">
        <v>200</v>
      </c>
      <c r="G231" s="91">
        <f>100-60</f>
        <v>40</v>
      </c>
      <c r="H231" s="91">
        <f>100-60</f>
        <v>40</v>
      </c>
      <c r="I231" s="91">
        <f t="shared" si="7"/>
        <v>100</v>
      </c>
    </row>
    <row r="232" spans="1:9" s="15" customFormat="1" ht="24.75" customHeight="1" outlineLevel="2">
      <c r="A232" s="44" t="s">
        <v>226</v>
      </c>
      <c r="B232" s="59" t="s">
        <v>39</v>
      </c>
      <c r="C232" s="59" t="s">
        <v>71</v>
      </c>
      <c r="D232" s="59" t="s">
        <v>24</v>
      </c>
      <c r="E232" s="61">
        <v>3</v>
      </c>
      <c r="F232" s="60"/>
      <c r="G232" s="91">
        <f>SUM(G233:G235)</f>
        <v>30</v>
      </c>
      <c r="H232" s="91">
        <f>SUM(H233:H235)</f>
        <v>30</v>
      </c>
      <c r="I232" s="91">
        <f t="shared" si="7"/>
        <v>100</v>
      </c>
    </row>
    <row r="233" spans="1:9" s="15" customFormat="1" ht="25.5" customHeight="1" outlineLevel="2">
      <c r="A233" s="44" t="s">
        <v>101</v>
      </c>
      <c r="B233" s="59" t="s">
        <v>39</v>
      </c>
      <c r="C233" s="59" t="s">
        <v>71</v>
      </c>
      <c r="D233" s="59" t="s">
        <v>24</v>
      </c>
      <c r="E233" s="61">
        <v>3</v>
      </c>
      <c r="F233" s="60">
        <v>200</v>
      </c>
      <c r="G233" s="91">
        <f>50-20</f>
        <v>30</v>
      </c>
      <c r="H233" s="91">
        <f>50-20</f>
        <v>30</v>
      </c>
      <c r="I233" s="91">
        <f t="shared" si="7"/>
        <v>100</v>
      </c>
    </row>
    <row r="234" spans="1:9" s="15" customFormat="1" ht="24" hidden="1" outlineLevel="2">
      <c r="A234" s="44" t="s">
        <v>101</v>
      </c>
      <c r="B234" s="59" t="s">
        <v>39</v>
      </c>
      <c r="C234" s="59" t="s">
        <v>71</v>
      </c>
      <c r="D234" s="59" t="s">
        <v>24</v>
      </c>
      <c r="E234" s="61">
        <v>3</v>
      </c>
      <c r="F234" s="60">
        <v>200</v>
      </c>
      <c r="G234" s="91">
        <v>0</v>
      </c>
      <c r="H234" s="91">
        <v>0</v>
      </c>
      <c r="I234" s="91" t="e">
        <f t="shared" si="7"/>
        <v>#DIV/0!</v>
      </c>
    </row>
    <row r="235" spans="1:9" s="15" customFormat="1" ht="22.5" customHeight="1" hidden="1" outlineLevel="2">
      <c r="A235" s="44" t="s">
        <v>101</v>
      </c>
      <c r="B235" s="59" t="s">
        <v>39</v>
      </c>
      <c r="C235" s="59" t="s">
        <v>71</v>
      </c>
      <c r="D235" s="59" t="s">
        <v>24</v>
      </c>
      <c r="E235" s="61">
        <v>3</v>
      </c>
      <c r="F235" s="60">
        <v>200</v>
      </c>
      <c r="G235" s="91">
        <v>0</v>
      </c>
      <c r="H235" s="91">
        <v>0</v>
      </c>
      <c r="I235" s="91" t="e">
        <f t="shared" si="7"/>
        <v>#DIV/0!</v>
      </c>
    </row>
    <row r="236" spans="1:9" ht="35.25" customHeight="1" outlineLevel="3">
      <c r="A236" s="45" t="s">
        <v>254</v>
      </c>
      <c r="B236" s="59" t="s">
        <v>39</v>
      </c>
      <c r="C236" s="59" t="s">
        <v>71</v>
      </c>
      <c r="D236" s="59" t="s">
        <v>21</v>
      </c>
      <c r="E236" s="61">
        <v>0</v>
      </c>
      <c r="F236" s="60"/>
      <c r="G236" s="91">
        <f>SUM(G237)</f>
        <v>5073.675039999999</v>
      </c>
      <c r="H236" s="91">
        <f>SUM(H237)</f>
        <v>5073.675039999999</v>
      </c>
      <c r="I236" s="91">
        <f t="shared" si="7"/>
        <v>100</v>
      </c>
    </row>
    <row r="237" spans="1:9" ht="22.5" customHeight="1" outlineLevel="2">
      <c r="A237" s="44" t="s">
        <v>152</v>
      </c>
      <c r="B237" s="59" t="s">
        <v>39</v>
      </c>
      <c r="C237" s="59" t="s">
        <v>71</v>
      </c>
      <c r="D237" s="59" t="s">
        <v>21</v>
      </c>
      <c r="E237" s="61">
        <v>0</v>
      </c>
      <c r="F237" s="60">
        <v>600</v>
      </c>
      <c r="G237" s="91">
        <f>3100+1400+300+171.92686+101.74818</f>
        <v>5073.675039999999</v>
      </c>
      <c r="H237" s="91">
        <f>3100+1400+300+171.92686+101.74818</f>
        <v>5073.675039999999</v>
      </c>
      <c r="I237" s="91">
        <f t="shared" si="7"/>
        <v>100</v>
      </c>
    </row>
    <row r="238" spans="1:9" ht="15.75" outlineLevel="3">
      <c r="A238" s="45" t="s">
        <v>160</v>
      </c>
      <c r="B238" s="59" t="s">
        <v>39</v>
      </c>
      <c r="C238" s="59" t="s">
        <v>71</v>
      </c>
      <c r="D238" s="59" t="s">
        <v>16</v>
      </c>
      <c r="E238" s="61">
        <v>0</v>
      </c>
      <c r="F238" s="60"/>
      <c r="G238" s="91">
        <f>SUM(G239)</f>
        <v>2121.18</v>
      </c>
      <c r="H238" s="91">
        <f>SUM(H239)</f>
        <v>1765.7999999999997</v>
      </c>
      <c r="I238" s="91">
        <f t="shared" si="7"/>
        <v>83.24611772692558</v>
      </c>
    </row>
    <row r="239" spans="1:9" ht="24" outlineLevel="3">
      <c r="A239" s="44" t="s">
        <v>151</v>
      </c>
      <c r="B239" s="59" t="s">
        <v>39</v>
      </c>
      <c r="C239" s="59" t="s">
        <v>71</v>
      </c>
      <c r="D239" s="59" t="s">
        <v>16</v>
      </c>
      <c r="E239" s="61">
        <v>0</v>
      </c>
      <c r="F239" s="60"/>
      <c r="G239" s="91">
        <f>SUM(G240:G241)</f>
        <v>2121.18</v>
      </c>
      <c r="H239" s="91">
        <f>SUM(H240:H241)</f>
        <v>1765.7999999999997</v>
      </c>
      <c r="I239" s="91">
        <f t="shared" si="7"/>
        <v>83.24611772692558</v>
      </c>
    </row>
    <row r="240" spans="1:9" ht="36" outlineLevel="1">
      <c r="A240" s="45" t="s">
        <v>161</v>
      </c>
      <c r="B240" s="59" t="s">
        <v>39</v>
      </c>
      <c r="C240" s="59" t="s">
        <v>71</v>
      </c>
      <c r="D240" s="59" t="s">
        <v>16</v>
      </c>
      <c r="E240" s="61">
        <v>0</v>
      </c>
      <c r="F240" s="60">
        <v>600</v>
      </c>
      <c r="G240" s="91">
        <f>1428.8+79.1+8.5+428.2</f>
        <v>1944.6</v>
      </c>
      <c r="H240" s="91">
        <f>1428.8+79.1+8.5+428.2-355.38</f>
        <v>1589.2199999999998</v>
      </c>
      <c r="I240" s="91">
        <f t="shared" si="7"/>
        <v>81.72477630360999</v>
      </c>
    </row>
    <row r="241" spans="1:9" ht="25.5" customHeight="1" outlineLevel="1">
      <c r="A241" s="44" t="s">
        <v>152</v>
      </c>
      <c r="B241" s="59" t="s">
        <v>39</v>
      </c>
      <c r="C241" s="59" t="s">
        <v>71</v>
      </c>
      <c r="D241" s="59" t="s">
        <v>16</v>
      </c>
      <c r="E241" s="61">
        <v>0</v>
      </c>
      <c r="F241" s="60">
        <v>600</v>
      </c>
      <c r="G241" s="91">
        <f>71.5+3.9+93.1-0.011+47.578-39.487</f>
        <v>176.58</v>
      </c>
      <c r="H241" s="91">
        <f>71.5+3.9+93.1-0.011+47.578-39.487</f>
        <v>176.58</v>
      </c>
      <c r="I241" s="91">
        <f t="shared" si="7"/>
        <v>100</v>
      </c>
    </row>
    <row r="242" spans="1:9" ht="18" customHeight="1" outlineLevel="1">
      <c r="A242" s="44" t="s">
        <v>72</v>
      </c>
      <c r="B242" s="59" t="s">
        <v>39</v>
      </c>
      <c r="C242" s="59" t="s">
        <v>73</v>
      </c>
      <c r="D242" s="59"/>
      <c r="E242" s="61"/>
      <c r="F242" s="60"/>
      <c r="G242" s="91">
        <f>SUM(G245+G243)</f>
        <v>1413.10576</v>
      </c>
      <c r="H242" s="91">
        <f>SUM(H245+H243)</f>
        <v>1413.10576</v>
      </c>
      <c r="I242" s="91">
        <f t="shared" si="7"/>
        <v>100</v>
      </c>
    </row>
    <row r="243" spans="1:9" ht="60" outlineLevel="1">
      <c r="A243" s="44" t="s">
        <v>248</v>
      </c>
      <c r="B243" s="59" t="s">
        <v>39</v>
      </c>
      <c r="C243" s="59" t="s">
        <v>73</v>
      </c>
      <c r="D243" s="59" t="s">
        <v>201</v>
      </c>
      <c r="E243" s="61">
        <v>0</v>
      </c>
      <c r="F243" s="62"/>
      <c r="G243" s="91">
        <f>SUM(G244)</f>
        <v>0</v>
      </c>
      <c r="H243" s="91">
        <f>SUM(H244)</f>
        <v>0</v>
      </c>
      <c r="I243" s="91">
        <v>0</v>
      </c>
    </row>
    <row r="244" spans="1:9" ht="21" customHeight="1" outlineLevel="1">
      <c r="A244" s="44" t="s">
        <v>153</v>
      </c>
      <c r="B244" s="59" t="s">
        <v>39</v>
      </c>
      <c r="C244" s="59" t="s">
        <v>73</v>
      </c>
      <c r="D244" s="59" t="s">
        <v>201</v>
      </c>
      <c r="E244" s="61">
        <v>0</v>
      </c>
      <c r="F244" s="62">
        <v>300</v>
      </c>
      <c r="G244" s="91">
        <f>20-20</f>
        <v>0</v>
      </c>
      <c r="H244" s="91">
        <f>20-20</f>
        <v>0</v>
      </c>
      <c r="I244" s="91">
        <v>0</v>
      </c>
    </row>
    <row r="245" spans="1:9" ht="44.25" customHeight="1" outlineLevel="1">
      <c r="A245" s="45" t="s">
        <v>260</v>
      </c>
      <c r="B245" s="59" t="s">
        <v>39</v>
      </c>
      <c r="C245" s="59" t="s">
        <v>73</v>
      </c>
      <c r="D245" s="59" t="s">
        <v>22</v>
      </c>
      <c r="E245" s="61">
        <v>0</v>
      </c>
      <c r="F245" s="60"/>
      <c r="G245" s="91">
        <f>SUM(G246:G248)</f>
        <v>1413.10576</v>
      </c>
      <c r="H245" s="91">
        <f>SUM(H246:H248)</f>
        <v>1413.10576</v>
      </c>
      <c r="I245" s="91">
        <f t="shared" si="7"/>
        <v>100</v>
      </c>
    </row>
    <row r="246" spans="1:9" ht="23.25" customHeight="1" outlineLevel="1">
      <c r="A246" s="44" t="s">
        <v>100</v>
      </c>
      <c r="B246" s="59" t="s">
        <v>39</v>
      </c>
      <c r="C246" s="59" t="s">
        <v>73</v>
      </c>
      <c r="D246" s="59" t="s">
        <v>22</v>
      </c>
      <c r="E246" s="61">
        <v>0</v>
      </c>
      <c r="F246" s="60">
        <v>100</v>
      </c>
      <c r="G246" s="91">
        <f>570+470+200+0.2+54.8+123.89715-5.79139</f>
        <v>1413.10576</v>
      </c>
      <c r="H246" s="91">
        <f>570+470+200+0.2+54.8+123.89715-5.79139</f>
        <v>1413.10576</v>
      </c>
      <c r="I246" s="91">
        <f t="shared" si="7"/>
        <v>100</v>
      </c>
    </row>
    <row r="247" spans="1:9" ht="24" outlineLevel="1">
      <c r="A247" s="44" t="s">
        <v>101</v>
      </c>
      <c r="B247" s="59" t="s">
        <v>39</v>
      </c>
      <c r="C247" s="59" t="s">
        <v>73</v>
      </c>
      <c r="D247" s="59" t="s">
        <v>22</v>
      </c>
      <c r="E247" s="61">
        <v>0</v>
      </c>
      <c r="F247" s="60">
        <v>200</v>
      </c>
      <c r="G247" s="91">
        <f>54.8-54.8</f>
        <v>0</v>
      </c>
      <c r="H247" s="91">
        <f>54.8-54.8</f>
        <v>0</v>
      </c>
      <c r="I247" s="91">
        <v>0</v>
      </c>
    </row>
    <row r="248" spans="1:9" ht="15.75" customHeight="1" hidden="1" outlineLevel="1">
      <c r="A248" s="44" t="s">
        <v>141</v>
      </c>
      <c r="B248" s="59" t="s">
        <v>39</v>
      </c>
      <c r="C248" s="59" t="s">
        <v>73</v>
      </c>
      <c r="D248" s="59" t="s">
        <v>22</v>
      </c>
      <c r="E248" s="61">
        <v>0</v>
      </c>
      <c r="F248" s="60">
        <v>800</v>
      </c>
      <c r="G248" s="91">
        <f>0.2-0.2</f>
        <v>0</v>
      </c>
      <c r="H248" s="91">
        <f>0.2-0.2</f>
        <v>0</v>
      </c>
      <c r="I248" s="91" t="e">
        <f t="shared" si="7"/>
        <v>#DIV/0!</v>
      </c>
    </row>
    <row r="249" spans="1:9" ht="15.75" outlineLevel="1">
      <c r="A249" s="44" t="s">
        <v>74</v>
      </c>
      <c r="B249" s="59" t="s">
        <v>39</v>
      </c>
      <c r="C249" s="59" t="s">
        <v>115</v>
      </c>
      <c r="D249" s="59"/>
      <c r="E249" s="61"/>
      <c r="F249" s="60"/>
      <c r="G249" s="91">
        <f>SUM(G250+G270+G272+G274)</f>
        <v>38395.530119999996</v>
      </c>
      <c r="H249" s="91">
        <f>SUM(H250+H270+H272+H274)</f>
        <v>38395.530119999996</v>
      </c>
      <c r="I249" s="91">
        <f t="shared" si="7"/>
        <v>100</v>
      </c>
    </row>
    <row r="250" spans="1:9" ht="15" customHeight="1" outlineLevel="1">
      <c r="A250" s="44" t="s">
        <v>116</v>
      </c>
      <c r="B250" s="59" t="s">
        <v>39</v>
      </c>
      <c r="C250" s="59" t="s">
        <v>80</v>
      </c>
      <c r="D250" s="59"/>
      <c r="E250" s="61"/>
      <c r="F250" s="60"/>
      <c r="G250" s="91">
        <f>SUM(G254+G257+G259+G264+G266+G268+G261+G251)</f>
        <v>35738.03941</v>
      </c>
      <c r="H250" s="91">
        <f>SUM(H254+H257+H259+H264+H266+H268+H261+H251)</f>
        <v>35738.03941</v>
      </c>
      <c r="I250" s="91">
        <f t="shared" si="7"/>
        <v>100</v>
      </c>
    </row>
    <row r="251" spans="1:9" ht="35.25" customHeight="1" outlineLevel="1">
      <c r="A251" s="44" t="s">
        <v>257</v>
      </c>
      <c r="B251" s="59" t="s">
        <v>39</v>
      </c>
      <c r="C251" s="59" t="s">
        <v>80</v>
      </c>
      <c r="D251" s="59" t="s">
        <v>6</v>
      </c>
      <c r="E251" s="61">
        <v>0</v>
      </c>
      <c r="F251" s="62"/>
      <c r="G251" s="91">
        <f>SUM(G252)</f>
        <v>1676.1205</v>
      </c>
      <c r="H251" s="91">
        <f>SUM(H252)</f>
        <v>1676.1205</v>
      </c>
      <c r="I251" s="91">
        <f t="shared" si="7"/>
        <v>100</v>
      </c>
    </row>
    <row r="252" spans="1:9" ht="31.5" customHeight="1" outlineLevel="1">
      <c r="A252" s="44" t="s">
        <v>198</v>
      </c>
      <c r="B252" s="59" t="s">
        <v>39</v>
      </c>
      <c r="C252" s="59" t="s">
        <v>80</v>
      </c>
      <c r="D252" s="59" t="s">
        <v>6</v>
      </c>
      <c r="E252" s="61">
        <v>3</v>
      </c>
      <c r="F252" s="60"/>
      <c r="G252" s="91">
        <f>SUM(G253:G253)</f>
        <v>1676.1205</v>
      </c>
      <c r="H252" s="91">
        <f>SUM(H253:H253)</f>
        <v>1676.1205</v>
      </c>
      <c r="I252" s="91">
        <f t="shared" si="7"/>
        <v>100</v>
      </c>
    </row>
    <row r="253" spans="1:9" ht="22.5" customHeight="1" outlineLevel="1">
      <c r="A253" s="44" t="s">
        <v>152</v>
      </c>
      <c r="B253" s="59" t="s">
        <v>39</v>
      </c>
      <c r="C253" s="59" t="s">
        <v>80</v>
      </c>
      <c r="D253" s="59" t="s">
        <v>6</v>
      </c>
      <c r="E253" s="61">
        <v>3</v>
      </c>
      <c r="F253" s="60">
        <v>600</v>
      </c>
      <c r="G253" s="91">
        <f>1000+600+76.1205</f>
        <v>1676.1205</v>
      </c>
      <c r="H253" s="91">
        <f>1000+600+76.1205</f>
        <v>1676.1205</v>
      </c>
      <c r="I253" s="91">
        <f t="shared" si="7"/>
        <v>100</v>
      </c>
    </row>
    <row r="254" spans="1:9" ht="24" outlineLevel="1">
      <c r="A254" s="44" t="s">
        <v>322</v>
      </c>
      <c r="B254" s="59" t="s">
        <v>39</v>
      </c>
      <c r="C254" s="59" t="s">
        <v>80</v>
      </c>
      <c r="D254" s="59" t="s">
        <v>319</v>
      </c>
      <c r="E254" s="61">
        <v>0</v>
      </c>
      <c r="F254" s="60"/>
      <c r="G254" s="91">
        <f>SUM(G255:G256)</f>
        <v>20202.03</v>
      </c>
      <c r="H254" s="91">
        <f>SUM(H255:H256)</f>
        <v>20202.03</v>
      </c>
      <c r="I254" s="91">
        <f t="shared" si="7"/>
        <v>100</v>
      </c>
    </row>
    <row r="255" spans="1:9" ht="24" outlineLevel="2">
      <c r="A255" s="44" t="s">
        <v>152</v>
      </c>
      <c r="B255" s="59" t="s">
        <v>39</v>
      </c>
      <c r="C255" s="59" t="s">
        <v>80</v>
      </c>
      <c r="D255" s="59" t="s">
        <v>319</v>
      </c>
      <c r="E255" s="61">
        <v>0</v>
      </c>
      <c r="F255" s="60">
        <v>600</v>
      </c>
      <c r="G255" s="91">
        <v>20000</v>
      </c>
      <c r="H255" s="91">
        <v>20000</v>
      </c>
      <c r="I255" s="91">
        <f t="shared" si="7"/>
        <v>100</v>
      </c>
    </row>
    <row r="256" spans="1:9" ht="108" outlineLevel="5">
      <c r="A256" s="44" t="s">
        <v>335</v>
      </c>
      <c r="B256" s="59" t="s">
        <v>39</v>
      </c>
      <c r="C256" s="59" t="s">
        <v>80</v>
      </c>
      <c r="D256" s="59" t="s">
        <v>319</v>
      </c>
      <c r="E256" s="61">
        <v>0</v>
      </c>
      <c r="F256" s="60">
        <v>600</v>
      </c>
      <c r="G256" s="91">
        <f>202.03</f>
        <v>202.03</v>
      </c>
      <c r="H256" s="91">
        <f>202.03</f>
        <v>202.03</v>
      </c>
      <c r="I256" s="91">
        <f t="shared" si="7"/>
        <v>100</v>
      </c>
    </row>
    <row r="257" spans="1:9" ht="25.5" customHeight="1" outlineLevel="1">
      <c r="A257" s="44" t="s">
        <v>258</v>
      </c>
      <c r="B257" s="59" t="s">
        <v>39</v>
      </c>
      <c r="C257" s="59" t="s">
        <v>80</v>
      </c>
      <c r="D257" s="59" t="s">
        <v>5</v>
      </c>
      <c r="E257" s="61">
        <v>0</v>
      </c>
      <c r="F257" s="62"/>
      <c r="G257" s="91">
        <f>SUM(G258)</f>
        <v>50</v>
      </c>
      <c r="H257" s="91">
        <f>SUM(H258)</f>
        <v>50</v>
      </c>
      <c r="I257" s="91">
        <f t="shared" si="7"/>
        <v>100</v>
      </c>
    </row>
    <row r="258" spans="1:9" ht="24" outlineLevel="2">
      <c r="A258" s="44" t="s">
        <v>152</v>
      </c>
      <c r="B258" s="59" t="s">
        <v>39</v>
      </c>
      <c r="C258" s="59" t="s">
        <v>80</v>
      </c>
      <c r="D258" s="59" t="s">
        <v>5</v>
      </c>
      <c r="E258" s="61">
        <v>0</v>
      </c>
      <c r="F258" s="62">
        <v>600</v>
      </c>
      <c r="G258" s="91">
        <f>50</f>
        <v>50</v>
      </c>
      <c r="H258" s="91">
        <f>50</f>
        <v>50</v>
      </c>
      <c r="I258" s="91">
        <f t="shared" si="7"/>
        <v>100</v>
      </c>
    </row>
    <row r="259" spans="1:9" ht="24.75" customHeight="1" outlineLevel="5">
      <c r="A259" s="45" t="s">
        <v>245</v>
      </c>
      <c r="B259" s="59" t="s">
        <v>39</v>
      </c>
      <c r="C259" s="59" t="s">
        <v>80</v>
      </c>
      <c r="D259" s="59" t="s">
        <v>4</v>
      </c>
      <c r="E259" s="61">
        <v>0</v>
      </c>
      <c r="F259" s="62"/>
      <c r="G259" s="91">
        <f>SUM(G260)</f>
        <v>37</v>
      </c>
      <c r="H259" s="91">
        <f>SUM(H260)</f>
        <v>37</v>
      </c>
      <c r="I259" s="91">
        <f t="shared" si="7"/>
        <v>100</v>
      </c>
    </row>
    <row r="260" spans="1:9" ht="24" outlineLevel="3">
      <c r="A260" s="44" t="s">
        <v>152</v>
      </c>
      <c r="B260" s="59" t="s">
        <v>39</v>
      </c>
      <c r="C260" s="59" t="s">
        <v>80</v>
      </c>
      <c r="D260" s="59" t="s">
        <v>4</v>
      </c>
      <c r="E260" s="61">
        <v>0</v>
      </c>
      <c r="F260" s="62">
        <v>600</v>
      </c>
      <c r="G260" s="91">
        <f>100-50-13</f>
        <v>37</v>
      </c>
      <c r="H260" s="91">
        <f>100-50-13</f>
        <v>37</v>
      </c>
      <c r="I260" s="91">
        <f t="shared" si="7"/>
        <v>100</v>
      </c>
    </row>
    <row r="261" spans="1:9" ht="24" hidden="1" outlineLevel="3">
      <c r="A261" s="44" t="s">
        <v>151</v>
      </c>
      <c r="B261" s="59" t="s">
        <v>39</v>
      </c>
      <c r="C261" s="59" t="s">
        <v>80</v>
      </c>
      <c r="D261" s="59" t="s">
        <v>16</v>
      </c>
      <c r="E261" s="61">
        <v>0</v>
      </c>
      <c r="F261" s="60"/>
      <c r="G261" s="91">
        <f>SUM(G262)</f>
        <v>0</v>
      </c>
      <c r="H261" s="91">
        <f>SUM(H262)</f>
        <v>0</v>
      </c>
      <c r="I261" s="91" t="e">
        <f t="shared" si="7"/>
        <v>#DIV/0!</v>
      </c>
    </row>
    <row r="262" spans="1:9" ht="24" hidden="1" outlineLevel="3">
      <c r="A262" s="44" t="s">
        <v>101</v>
      </c>
      <c r="B262" s="59" t="s">
        <v>39</v>
      </c>
      <c r="C262" s="59" t="s">
        <v>80</v>
      </c>
      <c r="D262" s="59" t="s">
        <v>16</v>
      </c>
      <c r="E262" s="61">
        <v>0</v>
      </c>
      <c r="F262" s="60">
        <v>200</v>
      </c>
      <c r="G262" s="91">
        <v>0</v>
      </c>
      <c r="H262" s="91">
        <v>0</v>
      </c>
      <c r="I262" s="91" t="e">
        <f t="shared" si="7"/>
        <v>#DIV/0!</v>
      </c>
    </row>
    <row r="263" spans="1:9" ht="27.75" customHeight="1" outlineLevel="3">
      <c r="A263" s="45" t="s">
        <v>255</v>
      </c>
      <c r="B263" s="59" t="s">
        <v>39</v>
      </c>
      <c r="C263" s="59" t="s">
        <v>115</v>
      </c>
      <c r="D263" s="59" t="s">
        <v>23</v>
      </c>
      <c r="E263" s="61">
        <v>0</v>
      </c>
      <c r="F263" s="60"/>
      <c r="G263" s="91">
        <f>SUM(G264+G266+G268+G270+G273)</f>
        <v>15552.279620000001</v>
      </c>
      <c r="H263" s="91">
        <f>SUM(H264+H266+H268+H270+H273)</f>
        <v>15552.279620000001</v>
      </c>
      <c r="I263" s="91">
        <f t="shared" si="7"/>
        <v>100</v>
      </c>
    </row>
    <row r="264" spans="1:9" ht="15.75" outlineLevel="3">
      <c r="A264" s="45" t="s">
        <v>75</v>
      </c>
      <c r="B264" s="59" t="s">
        <v>39</v>
      </c>
      <c r="C264" s="59" t="s">
        <v>80</v>
      </c>
      <c r="D264" s="59" t="s">
        <v>23</v>
      </c>
      <c r="E264" s="61">
        <v>0</v>
      </c>
      <c r="F264" s="60"/>
      <c r="G264" s="91">
        <f>SUM(G265:G265)</f>
        <v>11066.79441</v>
      </c>
      <c r="H264" s="91">
        <f>SUM(H265:H265)</f>
        <v>11066.79441</v>
      </c>
      <c r="I264" s="91">
        <f t="shared" si="7"/>
        <v>100</v>
      </c>
    </row>
    <row r="265" spans="1:9" ht="27" customHeight="1" outlineLevel="3">
      <c r="A265" s="44" t="s">
        <v>152</v>
      </c>
      <c r="B265" s="59" t="s">
        <v>39</v>
      </c>
      <c r="C265" s="59" t="s">
        <v>80</v>
      </c>
      <c r="D265" s="59" t="s">
        <v>23</v>
      </c>
      <c r="E265" s="61">
        <v>0</v>
      </c>
      <c r="F265" s="60">
        <v>600</v>
      </c>
      <c r="G265" s="91">
        <f>7214+1427+1034.14803+413.95197+55.78412+97.60482+60+150.8795+100+43.17312+94.99708+326.26792-150.81805+199.8059</f>
        <v>11066.79441</v>
      </c>
      <c r="H265" s="91">
        <f>7214+1427+1034.14803+413.95197+55.78412+97.60482+60+150.8795+100+43.17312+94.99708+326.26792-150.81805+199.8059</f>
        <v>11066.79441</v>
      </c>
      <c r="I265" s="91">
        <f t="shared" si="7"/>
        <v>100</v>
      </c>
    </row>
    <row r="266" spans="1:9" ht="16.5" customHeight="1" outlineLevel="5">
      <c r="A266" s="45" t="s">
        <v>76</v>
      </c>
      <c r="B266" s="59" t="s">
        <v>39</v>
      </c>
      <c r="C266" s="59" t="s">
        <v>80</v>
      </c>
      <c r="D266" s="59" t="s">
        <v>23</v>
      </c>
      <c r="E266" s="61">
        <v>0</v>
      </c>
      <c r="F266" s="62"/>
      <c r="G266" s="91">
        <f>SUM(G267)</f>
        <v>1463.28624</v>
      </c>
      <c r="H266" s="91">
        <f>SUM(H267)</f>
        <v>1463.28624</v>
      </c>
      <c r="I266" s="91">
        <f aca="true" t="shared" si="8" ref="I266:I329">SUM(H266/G266)*100</f>
        <v>100</v>
      </c>
    </row>
    <row r="267" spans="1:9" ht="27" customHeight="1" outlineLevel="5">
      <c r="A267" s="44" t="s">
        <v>152</v>
      </c>
      <c r="B267" s="59" t="s">
        <v>39</v>
      </c>
      <c r="C267" s="59" t="s">
        <v>80</v>
      </c>
      <c r="D267" s="59" t="s">
        <v>23</v>
      </c>
      <c r="E267" s="61">
        <v>0</v>
      </c>
      <c r="F267" s="62">
        <v>600</v>
      </c>
      <c r="G267" s="91">
        <f>862+731-384.70408+95.00408-11.49377+58.51423+38.12189+85.96578-38.12189+27</f>
        <v>1463.28624</v>
      </c>
      <c r="H267" s="91">
        <f>862+731-384.70408+95.00408-11.49377+58.51423+38.12189+85.96578-38.12189+27</f>
        <v>1463.28624</v>
      </c>
      <c r="I267" s="91">
        <f t="shared" si="8"/>
        <v>100</v>
      </c>
    </row>
    <row r="268" spans="1:9" ht="15.75" outlineLevel="5">
      <c r="A268" s="45" t="s">
        <v>77</v>
      </c>
      <c r="B268" s="59" t="s">
        <v>39</v>
      </c>
      <c r="C268" s="59" t="s">
        <v>80</v>
      </c>
      <c r="D268" s="59" t="s">
        <v>23</v>
      </c>
      <c r="E268" s="61">
        <v>0</v>
      </c>
      <c r="F268" s="62"/>
      <c r="G268" s="91">
        <f>SUM(G269:G269)</f>
        <v>1242.80826</v>
      </c>
      <c r="H268" s="91">
        <f>SUM(H269:H269)</f>
        <v>1242.80826</v>
      </c>
      <c r="I268" s="91">
        <f t="shared" si="8"/>
        <v>100</v>
      </c>
    </row>
    <row r="269" spans="1:9" ht="24" outlineLevel="5">
      <c r="A269" s="44" t="s">
        <v>152</v>
      </c>
      <c r="B269" s="59" t="s">
        <v>39</v>
      </c>
      <c r="C269" s="59" t="s">
        <v>80</v>
      </c>
      <c r="D269" s="59" t="s">
        <v>23</v>
      </c>
      <c r="E269" s="61">
        <v>0</v>
      </c>
      <c r="F269" s="62">
        <v>600</v>
      </c>
      <c r="G269" s="91">
        <f>1069+288-348.76284+75.96284+22.58509+38.86749+33+0.68698+72.2694-31.8007+23</f>
        <v>1242.80826</v>
      </c>
      <c r="H269" s="91">
        <f>1069+288-348.76284+75.96284+22.58509+38.86749+33+0.68698+72.2694-31.8007+23</f>
        <v>1242.80826</v>
      </c>
      <c r="I269" s="91">
        <f t="shared" si="8"/>
        <v>100</v>
      </c>
    </row>
    <row r="270" spans="1:9" ht="15.75" outlineLevel="5">
      <c r="A270" s="45" t="s">
        <v>78</v>
      </c>
      <c r="B270" s="59" t="s">
        <v>39</v>
      </c>
      <c r="C270" s="59" t="s">
        <v>81</v>
      </c>
      <c r="D270" s="59" t="s">
        <v>23</v>
      </c>
      <c r="E270" s="61">
        <v>0</v>
      </c>
      <c r="F270" s="62"/>
      <c r="G270" s="91">
        <f>SUM(G271)</f>
        <v>225.16126000000003</v>
      </c>
      <c r="H270" s="91">
        <f>SUM(H271)</f>
        <v>225.16126000000003</v>
      </c>
      <c r="I270" s="91">
        <f t="shared" si="8"/>
        <v>100</v>
      </c>
    </row>
    <row r="271" spans="1:9" ht="24" outlineLevel="5">
      <c r="A271" s="44" t="s">
        <v>152</v>
      </c>
      <c r="B271" s="59" t="s">
        <v>39</v>
      </c>
      <c r="C271" s="59" t="s">
        <v>81</v>
      </c>
      <c r="D271" s="59" t="s">
        <v>23</v>
      </c>
      <c r="E271" s="61">
        <v>0</v>
      </c>
      <c r="F271" s="62">
        <v>600</v>
      </c>
      <c r="G271" s="91">
        <f>309-42-76.08917+15.08917-3.70489+10.76379+5.4465+12.103-5.44714</f>
        <v>225.16126000000003</v>
      </c>
      <c r="H271" s="91">
        <f>309-42-76.08917+15.08917-3.70489+10.76379+5.4465+12.103-5.44714</f>
        <v>225.16126000000003</v>
      </c>
      <c r="I271" s="91">
        <f t="shared" si="8"/>
        <v>100</v>
      </c>
    </row>
    <row r="272" spans="1:9" ht="15.75" outlineLevel="5">
      <c r="A272" s="45" t="s">
        <v>79</v>
      </c>
      <c r="B272" s="59" t="s">
        <v>39</v>
      </c>
      <c r="C272" s="59" t="s">
        <v>82</v>
      </c>
      <c r="D272" s="59" t="s">
        <v>23</v>
      </c>
      <c r="E272" s="61">
        <v>0</v>
      </c>
      <c r="F272" s="62"/>
      <c r="G272" s="91">
        <f>SUM(G273)</f>
        <v>1554.22945</v>
      </c>
      <c r="H272" s="91">
        <f>SUM(H273)</f>
        <v>1554.22945</v>
      </c>
      <c r="I272" s="91">
        <f t="shared" si="8"/>
        <v>100</v>
      </c>
    </row>
    <row r="273" spans="1:9" ht="25.5" customHeight="1" outlineLevel="5">
      <c r="A273" s="44" t="s">
        <v>152</v>
      </c>
      <c r="B273" s="59" t="s">
        <v>39</v>
      </c>
      <c r="C273" s="59" t="s">
        <v>82</v>
      </c>
      <c r="D273" s="59" t="s">
        <v>23</v>
      </c>
      <c r="E273" s="61">
        <v>0</v>
      </c>
      <c r="F273" s="62">
        <v>600</v>
      </c>
      <c r="G273" s="91">
        <f>596+846-224.59194+399.99194-63.17055</f>
        <v>1554.22945</v>
      </c>
      <c r="H273" s="91">
        <f>596+846-224.59194+399.99194-63.17055</f>
        <v>1554.22945</v>
      </c>
      <c r="I273" s="91">
        <f t="shared" si="8"/>
        <v>100</v>
      </c>
    </row>
    <row r="274" spans="1:9" ht="36" outlineLevel="5">
      <c r="A274" s="44" t="s">
        <v>329</v>
      </c>
      <c r="B274" s="59" t="s">
        <v>39</v>
      </c>
      <c r="C274" s="59" t="s">
        <v>82</v>
      </c>
      <c r="D274" s="59" t="s">
        <v>325</v>
      </c>
      <c r="E274" s="61">
        <v>0</v>
      </c>
      <c r="F274" s="62"/>
      <c r="G274" s="91">
        <f>SUM(G275)</f>
        <v>878.0999999999999</v>
      </c>
      <c r="H274" s="91">
        <f>SUM(H275)</f>
        <v>878.0999999999999</v>
      </c>
      <c r="I274" s="91">
        <f t="shared" si="8"/>
        <v>100</v>
      </c>
    </row>
    <row r="275" spans="1:9" ht="36" customHeight="1" outlineLevel="5">
      <c r="A275" s="44" t="s">
        <v>331</v>
      </c>
      <c r="B275" s="59" t="s">
        <v>39</v>
      </c>
      <c r="C275" s="59" t="s">
        <v>82</v>
      </c>
      <c r="D275" s="59" t="s">
        <v>325</v>
      </c>
      <c r="E275" s="61">
        <v>0</v>
      </c>
      <c r="F275" s="62">
        <v>500</v>
      </c>
      <c r="G275" s="91">
        <f>790.29+87.81</f>
        <v>878.0999999999999</v>
      </c>
      <c r="H275" s="91">
        <f>790.29+87.81</f>
        <v>878.0999999999999</v>
      </c>
      <c r="I275" s="91">
        <f t="shared" si="8"/>
        <v>100</v>
      </c>
    </row>
    <row r="276" spans="1:9" ht="15.75" outlineLevel="5">
      <c r="A276" s="44" t="s">
        <v>207</v>
      </c>
      <c r="B276" s="59" t="s">
        <v>39</v>
      </c>
      <c r="C276" s="59" t="s">
        <v>208</v>
      </c>
      <c r="D276" s="59"/>
      <c r="E276" s="61"/>
      <c r="F276" s="62"/>
      <c r="G276" s="91">
        <f>SUM(G277)</f>
        <v>12.5</v>
      </c>
      <c r="H276" s="91">
        <f>SUM(H277)</f>
        <v>12.5</v>
      </c>
      <c r="I276" s="91">
        <f t="shared" si="8"/>
        <v>100</v>
      </c>
    </row>
    <row r="277" spans="1:9" ht="15.75" outlineLevel="5">
      <c r="A277" s="44" t="s">
        <v>209</v>
      </c>
      <c r="B277" s="59" t="s">
        <v>39</v>
      </c>
      <c r="C277" s="59" t="s">
        <v>210</v>
      </c>
      <c r="D277" s="59"/>
      <c r="E277" s="61"/>
      <c r="F277" s="62"/>
      <c r="G277" s="91">
        <f>SUM(G280)</f>
        <v>12.5</v>
      </c>
      <c r="H277" s="91">
        <f>SUM(H280)</f>
        <v>12.5</v>
      </c>
      <c r="I277" s="91">
        <f t="shared" si="8"/>
        <v>100</v>
      </c>
    </row>
    <row r="278" spans="1:9" ht="36" outlineLevel="5">
      <c r="A278" s="44" t="s">
        <v>257</v>
      </c>
      <c r="B278" s="59" t="s">
        <v>39</v>
      </c>
      <c r="C278" s="59" t="s">
        <v>210</v>
      </c>
      <c r="D278" s="59" t="s">
        <v>6</v>
      </c>
      <c r="E278" s="61">
        <v>0</v>
      </c>
      <c r="F278" s="62"/>
      <c r="G278" s="91">
        <f>SUM(G279)</f>
        <v>12.5</v>
      </c>
      <c r="H278" s="91">
        <f>SUM(H279)</f>
        <v>12.5</v>
      </c>
      <c r="I278" s="91">
        <f t="shared" si="8"/>
        <v>100</v>
      </c>
    </row>
    <row r="279" spans="1:9" ht="24" outlineLevel="5">
      <c r="A279" s="44" t="s">
        <v>198</v>
      </c>
      <c r="B279" s="59" t="s">
        <v>39</v>
      </c>
      <c r="C279" s="59" t="s">
        <v>210</v>
      </c>
      <c r="D279" s="59" t="s">
        <v>6</v>
      </c>
      <c r="E279" s="61">
        <v>3</v>
      </c>
      <c r="F279" s="60"/>
      <c r="G279" s="91">
        <f>SUM(G280:G280)</f>
        <v>12.5</v>
      </c>
      <c r="H279" s="91">
        <f>SUM(H280:H280)</f>
        <v>12.5</v>
      </c>
      <c r="I279" s="91">
        <f t="shared" si="8"/>
        <v>100</v>
      </c>
    </row>
    <row r="280" spans="1:9" ht="24" outlineLevel="5">
      <c r="A280" s="44" t="s">
        <v>155</v>
      </c>
      <c r="B280" s="59" t="s">
        <v>39</v>
      </c>
      <c r="C280" s="59" t="s">
        <v>210</v>
      </c>
      <c r="D280" s="59" t="s">
        <v>6</v>
      </c>
      <c r="E280" s="61">
        <v>3</v>
      </c>
      <c r="F280" s="60">
        <v>400</v>
      </c>
      <c r="G280" s="91">
        <f>12.5</f>
        <v>12.5</v>
      </c>
      <c r="H280" s="91">
        <f>12.5</f>
        <v>12.5</v>
      </c>
      <c r="I280" s="91">
        <f t="shared" si="8"/>
        <v>100</v>
      </c>
    </row>
    <row r="281" spans="1:9" ht="21" customHeight="1" outlineLevel="5">
      <c r="A281" s="44" t="s">
        <v>83</v>
      </c>
      <c r="B281" s="59" t="s">
        <v>39</v>
      </c>
      <c r="C281" s="59" t="s">
        <v>162</v>
      </c>
      <c r="D281" s="59"/>
      <c r="E281" s="61"/>
      <c r="F281" s="60"/>
      <c r="G281" s="91">
        <f>SUM(G282+G285+G295+G305)</f>
        <v>26248.326269999998</v>
      </c>
      <c r="H281" s="91">
        <f>SUM(H282+H285+H295+H305)</f>
        <v>25809.170699999995</v>
      </c>
      <c r="I281" s="91">
        <f t="shared" si="8"/>
        <v>98.32691972248941</v>
      </c>
    </row>
    <row r="282" spans="1:9" ht="26.25" customHeight="1" outlineLevel="5">
      <c r="A282" s="44" t="s">
        <v>85</v>
      </c>
      <c r="B282" s="59" t="s">
        <v>39</v>
      </c>
      <c r="C282" s="59" t="s">
        <v>86</v>
      </c>
      <c r="D282" s="59"/>
      <c r="E282" s="61"/>
      <c r="F282" s="60"/>
      <c r="G282" s="91">
        <f>SUM(G283)</f>
        <v>4126.09727</v>
      </c>
      <c r="H282" s="91">
        <f>SUM(H283)</f>
        <v>4126.09727</v>
      </c>
      <c r="I282" s="91">
        <f t="shared" si="8"/>
        <v>100</v>
      </c>
    </row>
    <row r="283" spans="1:9" ht="24" customHeight="1" outlineLevel="5">
      <c r="A283" s="44" t="s">
        <v>151</v>
      </c>
      <c r="B283" s="59" t="s">
        <v>39</v>
      </c>
      <c r="C283" s="59" t="s">
        <v>86</v>
      </c>
      <c r="D283" s="59" t="s">
        <v>16</v>
      </c>
      <c r="E283" s="61">
        <v>0</v>
      </c>
      <c r="F283" s="60"/>
      <c r="G283" s="91">
        <f>SUM(G284)</f>
        <v>4126.09727</v>
      </c>
      <c r="H283" s="91">
        <f>SUM(H284)</f>
        <v>4126.09727</v>
      </c>
      <c r="I283" s="91">
        <f t="shared" si="8"/>
        <v>100</v>
      </c>
    </row>
    <row r="284" spans="1:9" ht="15.75" outlineLevel="5">
      <c r="A284" s="44" t="s">
        <v>153</v>
      </c>
      <c r="B284" s="59" t="s">
        <v>39</v>
      </c>
      <c r="C284" s="59" t="s">
        <v>86</v>
      </c>
      <c r="D284" s="59" t="s">
        <v>16</v>
      </c>
      <c r="E284" s="61">
        <v>0</v>
      </c>
      <c r="F284" s="60">
        <v>300</v>
      </c>
      <c r="G284" s="91">
        <f>3200+800+230-230+126.09727</f>
        <v>4126.09727</v>
      </c>
      <c r="H284" s="91">
        <f>3200+800+230-230+126.09727</f>
        <v>4126.09727</v>
      </c>
      <c r="I284" s="91">
        <f t="shared" si="8"/>
        <v>100</v>
      </c>
    </row>
    <row r="285" spans="1:9" ht="18.75" customHeight="1" outlineLevel="5">
      <c r="A285" s="44" t="s">
        <v>87</v>
      </c>
      <c r="B285" s="59" t="s">
        <v>39</v>
      </c>
      <c r="C285" s="59" t="s">
        <v>89</v>
      </c>
      <c r="D285" s="59"/>
      <c r="E285" s="61"/>
      <c r="F285" s="60"/>
      <c r="G285" s="91">
        <f>SUM(G286+G288)</f>
        <v>14440.185999999998</v>
      </c>
      <c r="H285" s="91">
        <f>SUM(H286+H288)</f>
        <v>14082.244429999999</v>
      </c>
      <c r="I285" s="91">
        <f t="shared" si="8"/>
        <v>97.52121219214213</v>
      </c>
    </row>
    <row r="286" spans="1:9" ht="58.5" customHeight="1" outlineLevel="5">
      <c r="A286" s="44" t="s">
        <v>261</v>
      </c>
      <c r="B286" s="59" t="s">
        <v>39</v>
      </c>
      <c r="C286" s="59" t="s">
        <v>89</v>
      </c>
      <c r="D286" s="59" t="s">
        <v>7</v>
      </c>
      <c r="E286" s="61">
        <v>0</v>
      </c>
      <c r="F286" s="60"/>
      <c r="G286" s="91">
        <f>SUM(G287)</f>
        <v>745.229</v>
      </c>
      <c r="H286" s="91">
        <f>SUM(H287)</f>
        <v>745.229</v>
      </c>
      <c r="I286" s="91">
        <f t="shared" si="8"/>
        <v>100</v>
      </c>
    </row>
    <row r="287" spans="1:9" ht="18.75" customHeight="1" outlineLevel="5">
      <c r="A287" s="44" t="s">
        <v>153</v>
      </c>
      <c r="B287" s="59" t="s">
        <v>39</v>
      </c>
      <c r="C287" s="59" t="s">
        <v>89</v>
      </c>
      <c r="D287" s="59" t="s">
        <v>7</v>
      </c>
      <c r="E287" s="61">
        <v>0</v>
      </c>
      <c r="F287" s="60">
        <v>300</v>
      </c>
      <c r="G287" s="91">
        <f>100+400+245.229</f>
        <v>745.229</v>
      </c>
      <c r="H287" s="91">
        <f>100+400+245.229</f>
        <v>745.229</v>
      </c>
      <c r="I287" s="91">
        <f t="shared" si="8"/>
        <v>100</v>
      </c>
    </row>
    <row r="288" spans="1:9" ht="24.75" customHeight="1">
      <c r="A288" s="44" t="s">
        <v>151</v>
      </c>
      <c r="B288" s="59" t="s">
        <v>39</v>
      </c>
      <c r="C288" s="59" t="s">
        <v>89</v>
      </c>
      <c r="D288" s="59" t="s">
        <v>16</v>
      </c>
      <c r="E288" s="61">
        <v>0</v>
      </c>
      <c r="F288" s="60"/>
      <c r="G288" s="91">
        <f>SUM(G289+G292+G293+G294)</f>
        <v>13694.956999999999</v>
      </c>
      <c r="H288" s="91">
        <f>SUM(H289+H292+H293+H294)</f>
        <v>13337.01543</v>
      </c>
      <c r="I288" s="91">
        <f t="shared" si="8"/>
        <v>97.38632571098982</v>
      </c>
    </row>
    <row r="289" spans="1:9" ht="84">
      <c r="A289" s="44" t="s">
        <v>105</v>
      </c>
      <c r="B289" s="59" t="s">
        <v>39</v>
      </c>
      <c r="C289" s="59" t="s">
        <v>89</v>
      </c>
      <c r="D289" s="59" t="s">
        <v>16</v>
      </c>
      <c r="E289" s="61">
        <v>0</v>
      </c>
      <c r="F289" s="60"/>
      <c r="G289" s="91">
        <f>SUM(G290:G291)</f>
        <v>9754.357</v>
      </c>
      <c r="H289" s="91">
        <f>SUM(H290:H291)</f>
        <v>9569.045</v>
      </c>
      <c r="I289" s="91">
        <f t="shared" si="8"/>
        <v>98.10021306376217</v>
      </c>
    </row>
    <row r="290" spans="1:9" ht="15.75">
      <c r="A290" s="44" t="s">
        <v>153</v>
      </c>
      <c r="B290" s="59" t="s">
        <v>39</v>
      </c>
      <c r="C290" s="59" t="s">
        <v>89</v>
      </c>
      <c r="D290" s="59" t="s">
        <v>16</v>
      </c>
      <c r="E290" s="61">
        <v>0</v>
      </c>
      <c r="F290" s="60">
        <v>300</v>
      </c>
      <c r="G290" s="91">
        <f>8069.299+4508-44.63-2676.32-50.55-990.099+842.07921</f>
        <v>9657.77921</v>
      </c>
      <c r="H290" s="91">
        <v>9474.30129</v>
      </c>
      <c r="I290" s="91">
        <f t="shared" si="8"/>
        <v>98.10020589609233</v>
      </c>
    </row>
    <row r="291" spans="1:9" ht="28.5" customHeight="1">
      <c r="A291" s="44" t="s">
        <v>101</v>
      </c>
      <c r="B291" s="59" t="s">
        <v>39</v>
      </c>
      <c r="C291" s="59" t="s">
        <v>89</v>
      </c>
      <c r="D291" s="59" t="s">
        <v>16</v>
      </c>
      <c r="E291" s="61">
        <v>0</v>
      </c>
      <c r="F291" s="60">
        <v>200</v>
      </c>
      <c r="G291" s="91">
        <f>80.69+44.63-26.757-0.505-9.901+8.42079</f>
        <v>96.57779</v>
      </c>
      <c r="H291" s="91">
        <v>94.74371</v>
      </c>
      <c r="I291" s="91">
        <f t="shared" si="8"/>
        <v>98.1009298307613</v>
      </c>
    </row>
    <row r="292" spans="1:9" ht="75" customHeight="1">
      <c r="A292" s="44" t="s">
        <v>106</v>
      </c>
      <c r="B292" s="59" t="s">
        <v>39</v>
      </c>
      <c r="C292" s="59" t="s">
        <v>89</v>
      </c>
      <c r="D292" s="59" t="s">
        <v>16</v>
      </c>
      <c r="E292" s="61">
        <v>0</v>
      </c>
      <c r="F292" s="60">
        <v>300</v>
      </c>
      <c r="G292" s="91">
        <f>1067.7+288.9-245.2-307.1</f>
        <v>804.2999999999998</v>
      </c>
      <c r="H292" s="91">
        <v>631.67043</v>
      </c>
      <c r="I292" s="91">
        <f t="shared" si="8"/>
        <v>78.53666915330102</v>
      </c>
    </row>
    <row r="293" spans="1:9" ht="63.75" customHeight="1">
      <c r="A293" s="44" t="s">
        <v>107</v>
      </c>
      <c r="B293" s="59" t="s">
        <v>39</v>
      </c>
      <c r="C293" s="59" t="s">
        <v>89</v>
      </c>
      <c r="D293" s="59" t="s">
        <v>16</v>
      </c>
      <c r="E293" s="61">
        <v>0</v>
      </c>
      <c r="F293" s="60">
        <v>300</v>
      </c>
      <c r="G293" s="91">
        <f>22.5+1+13.7-0.9</f>
        <v>36.300000000000004</v>
      </c>
      <c r="H293" s="91">
        <f>22.5+1+13.7-0.9</f>
        <v>36.300000000000004</v>
      </c>
      <c r="I293" s="91">
        <f t="shared" si="8"/>
        <v>100</v>
      </c>
    </row>
    <row r="294" spans="1:9" ht="60.75" customHeight="1">
      <c r="A294" s="44" t="s">
        <v>108</v>
      </c>
      <c r="B294" s="59" t="s">
        <v>39</v>
      </c>
      <c r="C294" s="59" t="s">
        <v>89</v>
      </c>
      <c r="D294" s="59" t="s">
        <v>16</v>
      </c>
      <c r="E294" s="61">
        <v>0</v>
      </c>
      <c r="F294" s="60">
        <v>300</v>
      </c>
      <c r="G294" s="91">
        <f>3024+74.7-363.9+365.2</f>
        <v>3099.9999999999995</v>
      </c>
      <c r="H294" s="91">
        <f>3024+74.7-363.9+365.2</f>
        <v>3099.9999999999995</v>
      </c>
      <c r="I294" s="91">
        <f t="shared" si="8"/>
        <v>100</v>
      </c>
    </row>
    <row r="295" spans="1:9" ht="24" customHeight="1">
      <c r="A295" s="44" t="s">
        <v>88</v>
      </c>
      <c r="B295" s="59" t="s">
        <v>39</v>
      </c>
      <c r="C295" s="59" t="s">
        <v>90</v>
      </c>
      <c r="D295" s="59"/>
      <c r="E295" s="61"/>
      <c r="F295" s="60"/>
      <c r="G295" s="91">
        <f>SUM(G298+G296)</f>
        <v>6603.6</v>
      </c>
      <c r="H295" s="91">
        <f>SUM(H298+H296)</f>
        <v>6522.386</v>
      </c>
      <c r="I295" s="91">
        <f t="shared" si="8"/>
        <v>98.77015567266339</v>
      </c>
    </row>
    <row r="296" spans="1:9" ht="24" customHeight="1" hidden="1">
      <c r="A296" s="44" t="s">
        <v>250</v>
      </c>
      <c r="B296" s="59" t="s">
        <v>39</v>
      </c>
      <c r="C296" s="59" t="s">
        <v>90</v>
      </c>
      <c r="D296" s="59" t="s">
        <v>251</v>
      </c>
      <c r="E296" s="61">
        <v>0</v>
      </c>
      <c r="F296" s="60"/>
      <c r="G296" s="91">
        <f>SUM(G297)</f>
        <v>0</v>
      </c>
      <c r="H296" s="91">
        <f>SUM(H297)</f>
        <v>0</v>
      </c>
      <c r="I296" s="91" t="e">
        <f t="shared" si="8"/>
        <v>#DIV/0!</v>
      </c>
    </row>
    <row r="297" spans="1:9" ht="18" customHeight="1" hidden="1">
      <c r="A297" s="44" t="s">
        <v>153</v>
      </c>
      <c r="B297" s="59" t="s">
        <v>39</v>
      </c>
      <c r="C297" s="59" t="s">
        <v>90</v>
      </c>
      <c r="D297" s="59" t="s">
        <v>251</v>
      </c>
      <c r="E297" s="61">
        <v>0</v>
      </c>
      <c r="F297" s="60">
        <v>300</v>
      </c>
      <c r="G297" s="91">
        <v>0</v>
      </c>
      <c r="H297" s="91">
        <v>0</v>
      </c>
      <c r="I297" s="91" t="e">
        <f t="shared" si="8"/>
        <v>#DIV/0!</v>
      </c>
    </row>
    <row r="298" spans="1:9" ht="27.75" customHeight="1">
      <c r="A298" s="44" t="s">
        <v>151</v>
      </c>
      <c r="B298" s="59" t="s">
        <v>39</v>
      </c>
      <c r="C298" s="59" t="s">
        <v>90</v>
      </c>
      <c r="D298" s="59" t="s">
        <v>16</v>
      </c>
      <c r="E298" s="61">
        <v>0</v>
      </c>
      <c r="F298" s="60"/>
      <c r="G298" s="91">
        <f>SUM(G299+G302)</f>
        <v>6603.6</v>
      </c>
      <c r="H298" s="91">
        <f>SUM(H299+H302)</f>
        <v>6522.386</v>
      </c>
      <c r="I298" s="91">
        <f t="shared" si="8"/>
        <v>98.77015567266339</v>
      </c>
    </row>
    <row r="299" spans="1:9" ht="48.75" customHeight="1">
      <c r="A299" s="44" t="s">
        <v>109</v>
      </c>
      <c r="B299" s="59" t="s">
        <v>39</v>
      </c>
      <c r="C299" s="59" t="s">
        <v>90</v>
      </c>
      <c r="D299" s="59" t="s">
        <v>16</v>
      </c>
      <c r="E299" s="61">
        <v>0</v>
      </c>
      <c r="F299" s="60"/>
      <c r="G299" s="91">
        <f>SUM(G300:G301)</f>
        <v>529.9999999999999</v>
      </c>
      <c r="H299" s="91">
        <f>SUM(H300:H301)</f>
        <v>529.9999999999999</v>
      </c>
      <c r="I299" s="91">
        <f t="shared" si="8"/>
        <v>100</v>
      </c>
    </row>
    <row r="300" spans="1:9" ht="14.25" customHeight="1">
      <c r="A300" s="44" t="s">
        <v>153</v>
      </c>
      <c r="B300" s="59" t="s">
        <v>39</v>
      </c>
      <c r="C300" s="59" t="s">
        <v>90</v>
      </c>
      <c r="D300" s="59" t="s">
        <v>16</v>
      </c>
      <c r="E300" s="61">
        <v>0</v>
      </c>
      <c r="F300" s="60">
        <v>300</v>
      </c>
      <c r="G300" s="91">
        <f>1327.03-612.97-129.902-59.4056-0.00008+0.00016</f>
        <v>524.7524799999999</v>
      </c>
      <c r="H300" s="91">
        <f>1327.03-612.97-129.902-59.4056-0.00008+0.00016</f>
        <v>524.7524799999999</v>
      </c>
      <c r="I300" s="91">
        <f t="shared" si="8"/>
        <v>100</v>
      </c>
    </row>
    <row r="301" spans="1:9" ht="23.25" customHeight="1">
      <c r="A301" s="44" t="s">
        <v>101</v>
      </c>
      <c r="B301" s="59" t="s">
        <v>39</v>
      </c>
      <c r="C301" s="59" t="s">
        <v>90</v>
      </c>
      <c r="D301" s="59" t="s">
        <v>16</v>
      </c>
      <c r="E301" s="61">
        <v>0</v>
      </c>
      <c r="F301" s="60">
        <v>200</v>
      </c>
      <c r="G301" s="91">
        <f>13.27-6.13-1.298-0.5944+0.00008-0.00016</f>
        <v>5.247519999999999</v>
      </c>
      <c r="H301" s="91">
        <f>13.27-6.13-1.298-0.5944+0.00008-0.00016</f>
        <v>5.247519999999999</v>
      </c>
      <c r="I301" s="91">
        <f t="shared" si="8"/>
        <v>100</v>
      </c>
    </row>
    <row r="302" spans="1:9" ht="96">
      <c r="A302" s="44" t="s">
        <v>227</v>
      </c>
      <c r="B302" s="59" t="s">
        <v>39</v>
      </c>
      <c r="C302" s="59" t="s">
        <v>90</v>
      </c>
      <c r="D302" s="59" t="s">
        <v>16</v>
      </c>
      <c r="E302" s="105">
        <v>0</v>
      </c>
      <c r="F302" s="60"/>
      <c r="G302" s="91">
        <f>SUM(G303:G304)</f>
        <v>6073.6</v>
      </c>
      <c r="H302" s="91">
        <f>SUM(H303:H304)</f>
        <v>5992.386</v>
      </c>
      <c r="I302" s="91">
        <f t="shared" si="8"/>
        <v>98.66283587987355</v>
      </c>
    </row>
    <row r="303" spans="1:9" ht="15.75">
      <c r="A303" s="44" t="s">
        <v>110</v>
      </c>
      <c r="B303" s="59" t="s">
        <v>39</v>
      </c>
      <c r="C303" s="59" t="s">
        <v>90</v>
      </c>
      <c r="D303" s="59" t="s">
        <v>16</v>
      </c>
      <c r="E303" s="61">
        <v>0</v>
      </c>
      <c r="F303" s="60">
        <v>300</v>
      </c>
      <c r="G303" s="91">
        <f>5437+557.2+298.8-1393.5</f>
        <v>4899.5</v>
      </c>
      <c r="H303" s="91">
        <v>4841.486</v>
      </c>
      <c r="I303" s="91">
        <f t="shared" si="8"/>
        <v>98.8159199918359</v>
      </c>
    </row>
    <row r="304" spans="1:9" ht="26.25" customHeight="1">
      <c r="A304" s="44" t="s">
        <v>111</v>
      </c>
      <c r="B304" s="59" t="s">
        <v>39</v>
      </c>
      <c r="C304" s="59" t="s">
        <v>90</v>
      </c>
      <c r="D304" s="59" t="s">
        <v>16</v>
      </c>
      <c r="E304" s="61">
        <v>0</v>
      </c>
      <c r="F304" s="60">
        <v>300</v>
      </c>
      <c r="G304" s="91">
        <f>649+668.1+443.6-586.6</f>
        <v>1174.1</v>
      </c>
      <c r="H304" s="91">
        <v>1150.9</v>
      </c>
      <c r="I304" s="91">
        <f t="shared" si="8"/>
        <v>98.02401839707011</v>
      </c>
    </row>
    <row r="305" spans="1:9" ht="15.75">
      <c r="A305" s="44" t="s">
        <v>220</v>
      </c>
      <c r="B305" s="59" t="s">
        <v>39</v>
      </c>
      <c r="C305" s="59" t="s">
        <v>219</v>
      </c>
      <c r="D305" s="59"/>
      <c r="E305" s="61"/>
      <c r="F305" s="60"/>
      <c r="G305" s="91">
        <f>SUM(G306)</f>
        <v>1078.443</v>
      </c>
      <c r="H305" s="91">
        <f>SUM(H306)</f>
        <v>1078.443</v>
      </c>
      <c r="I305" s="91">
        <f t="shared" si="8"/>
        <v>100</v>
      </c>
    </row>
    <row r="306" spans="1:9" ht="24">
      <c r="A306" s="44" t="s">
        <v>151</v>
      </c>
      <c r="B306" s="59" t="s">
        <v>39</v>
      </c>
      <c r="C306" s="59" t="s">
        <v>219</v>
      </c>
      <c r="D306" s="59" t="s">
        <v>16</v>
      </c>
      <c r="E306" s="61">
        <v>0</v>
      </c>
      <c r="F306" s="60"/>
      <c r="G306" s="91">
        <f>SUM(G307)</f>
        <v>1078.443</v>
      </c>
      <c r="H306" s="91">
        <f>SUM(H307)</f>
        <v>1078.443</v>
      </c>
      <c r="I306" s="91">
        <f t="shared" si="8"/>
        <v>100</v>
      </c>
    </row>
    <row r="307" spans="1:9" ht="84">
      <c r="A307" s="44" t="s">
        <v>105</v>
      </c>
      <c r="B307" s="59" t="s">
        <v>39</v>
      </c>
      <c r="C307" s="59" t="s">
        <v>219</v>
      </c>
      <c r="D307" s="59" t="s">
        <v>16</v>
      </c>
      <c r="E307" s="61">
        <v>0</v>
      </c>
      <c r="F307" s="60"/>
      <c r="G307" s="91">
        <f>SUM(G308:G309)</f>
        <v>1078.443</v>
      </c>
      <c r="H307" s="91">
        <f>SUM(H308:H309)</f>
        <v>1078.443</v>
      </c>
      <c r="I307" s="91">
        <f t="shared" si="8"/>
        <v>100</v>
      </c>
    </row>
    <row r="308" spans="1:9" ht="43.5" customHeight="1">
      <c r="A308" s="44" t="s">
        <v>100</v>
      </c>
      <c r="B308" s="59" t="s">
        <v>39</v>
      </c>
      <c r="C308" s="59" t="s">
        <v>219</v>
      </c>
      <c r="D308" s="59" t="s">
        <v>16</v>
      </c>
      <c r="E308" s="61">
        <v>0</v>
      </c>
      <c r="F308" s="60">
        <v>100</v>
      </c>
      <c r="G308" s="91">
        <f>900+36+41+5.918</f>
        <v>982.918</v>
      </c>
      <c r="H308" s="91">
        <f>900+36+41+5.918</f>
        <v>982.918</v>
      </c>
      <c r="I308" s="91">
        <f t="shared" si="8"/>
        <v>100</v>
      </c>
    </row>
    <row r="309" spans="1:9" ht="25.5" customHeight="1">
      <c r="A309" s="44" t="s">
        <v>101</v>
      </c>
      <c r="B309" s="59" t="s">
        <v>39</v>
      </c>
      <c r="C309" s="59" t="s">
        <v>219</v>
      </c>
      <c r="D309" s="59" t="s">
        <v>16</v>
      </c>
      <c r="E309" s="61">
        <v>0</v>
      </c>
      <c r="F309" s="60">
        <v>200</v>
      </c>
      <c r="G309" s="91">
        <f>204.411-36-77.023+10.055-5.918</f>
        <v>95.525</v>
      </c>
      <c r="H309" s="91">
        <f>204.411-36-77.023+10.055-5.918</f>
        <v>95.525</v>
      </c>
      <c r="I309" s="91">
        <f t="shared" si="8"/>
        <v>100</v>
      </c>
    </row>
    <row r="310" spans="1:9" ht="20.25" customHeight="1">
      <c r="A310" s="44" t="s">
        <v>91</v>
      </c>
      <c r="B310" s="59" t="s">
        <v>39</v>
      </c>
      <c r="C310" s="59" t="s">
        <v>134</v>
      </c>
      <c r="D310" s="59"/>
      <c r="E310" s="61"/>
      <c r="F310" s="60"/>
      <c r="G310" s="91">
        <f>SUM(G319+G315+G311)</f>
        <v>704.08164</v>
      </c>
      <c r="H310" s="91">
        <f>SUM(H319+H315+H311)</f>
        <v>704.08164</v>
      </c>
      <c r="I310" s="91">
        <f t="shared" si="8"/>
        <v>100</v>
      </c>
    </row>
    <row r="311" spans="1:9" ht="20.25" customHeight="1" hidden="1">
      <c r="A311" s="44" t="s">
        <v>281</v>
      </c>
      <c r="B311" s="59" t="s">
        <v>39</v>
      </c>
      <c r="C311" s="59" t="s">
        <v>211</v>
      </c>
      <c r="D311" s="59"/>
      <c r="E311" s="61"/>
      <c r="F311" s="60"/>
      <c r="G311" s="91">
        <f>SUM(G312)</f>
        <v>0</v>
      </c>
      <c r="H311" s="91">
        <f>SUM(H312)</f>
        <v>0</v>
      </c>
      <c r="I311" s="91" t="e">
        <f t="shared" si="8"/>
        <v>#DIV/0!</v>
      </c>
    </row>
    <row r="312" spans="1:9" ht="20.25" customHeight="1" hidden="1">
      <c r="A312" s="44" t="s">
        <v>277</v>
      </c>
      <c r="B312" s="59" t="s">
        <v>39</v>
      </c>
      <c r="C312" s="59" t="s">
        <v>211</v>
      </c>
      <c r="D312" s="59" t="s">
        <v>12</v>
      </c>
      <c r="E312" s="61">
        <v>0</v>
      </c>
      <c r="F312" s="60"/>
      <c r="G312" s="91">
        <f>SUM(G313:G314)</f>
        <v>0</v>
      </c>
      <c r="H312" s="91">
        <f>SUM(H313:H314)</f>
        <v>0</v>
      </c>
      <c r="I312" s="91" t="e">
        <f t="shared" si="8"/>
        <v>#DIV/0!</v>
      </c>
    </row>
    <row r="313" spans="1:9" ht="20.25" customHeight="1" hidden="1">
      <c r="A313" s="44" t="s">
        <v>289</v>
      </c>
      <c r="B313" s="59" t="s">
        <v>39</v>
      </c>
      <c r="C313" s="59" t="s">
        <v>211</v>
      </c>
      <c r="D313" s="59" t="s">
        <v>12</v>
      </c>
      <c r="E313" s="61">
        <v>0</v>
      </c>
      <c r="F313" s="60">
        <v>400</v>
      </c>
      <c r="G313" s="91">
        <v>0</v>
      </c>
      <c r="H313" s="91">
        <v>0</v>
      </c>
      <c r="I313" s="91" t="e">
        <f t="shared" si="8"/>
        <v>#DIV/0!</v>
      </c>
    </row>
    <row r="314" spans="1:9" ht="20.25" customHeight="1" hidden="1">
      <c r="A314" s="44" t="s">
        <v>278</v>
      </c>
      <c r="B314" s="59" t="s">
        <v>39</v>
      </c>
      <c r="C314" s="59" t="s">
        <v>211</v>
      </c>
      <c r="D314" s="59" t="s">
        <v>12</v>
      </c>
      <c r="E314" s="61">
        <v>0</v>
      </c>
      <c r="F314" s="60">
        <v>400</v>
      </c>
      <c r="G314" s="91">
        <v>0</v>
      </c>
      <c r="H314" s="91">
        <v>0</v>
      </c>
      <c r="I314" s="91" t="e">
        <f t="shared" si="8"/>
        <v>#DIV/0!</v>
      </c>
    </row>
    <row r="315" spans="1:9" ht="15.75">
      <c r="A315" s="44" t="s">
        <v>275</v>
      </c>
      <c r="B315" s="59" t="s">
        <v>39</v>
      </c>
      <c r="C315" s="59" t="s">
        <v>274</v>
      </c>
      <c r="D315" s="59"/>
      <c r="E315" s="61"/>
      <c r="F315" s="60"/>
      <c r="G315" s="91">
        <f>SUM(G316)</f>
        <v>250</v>
      </c>
      <c r="H315" s="91">
        <f>SUM(H316)</f>
        <v>250</v>
      </c>
      <c r="I315" s="91">
        <f t="shared" si="8"/>
        <v>100</v>
      </c>
    </row>
    <row r="316" spans="1:9" ht="24">
      <c r="A316" s="44" t="s">
        <v>242</v>
      </c>
      <c r="B316" s="59" t="s">
        <v>39</v>
      </c>
      <c r="C316" s="59" t="s">
        <v>274</v>
      </c>
      <c r="D316" s="59" t="s">
        <v>18</v>
      </c>
      <c r="E316" s="61">
        <v>0</v>
      </c>
      <c r="F316" s="60"/>
      <c r="G316" s="91">
        <f>SUM(G317:G318)</f>
        <v>250</v>
      </c>
      <c r="H316" s="91">
        <f>SUM(H317:H318)</f>
        <v>250</v>
      </c>
      <c r="I316" s="91">
        <f t="shared" si="8"/>
        <v>100</v>
      </c>
    </row>
    <row r="317" spans="1:9" ht="36">
      <c r="A317" s="44" t="s">
        <v>343</v>
      </c>
      <c r="B317" s="59" t="s">
        <v>39</v>
      </c>
      <c r="C317" s="59" t="s">
        <v>274</v>
      </c>
      <c r="D317" s="59" t="s">
        <v>18</v>
      </c>
      <c r="E317" s="61">
        <v>0</v>
      </c>
      <c r="F317" s="60">
        <v>400</v>
      </c>
      <c r="G317" s="91">
        <f>200</f>
        <v>200</v>
      </c>
      <c r="H317" s="91">
        <f>200</f>
        <v>200</v>
      </c>
      <c r="I317" s="91">
        <f t="shared" si="8"/>
        <v>100</v>
      </c>
    </row>
    <row r="318" spans="1:9" ht="24">
      <c r="A318" s="44" t="s">
        <v>155</v>
      </c>
      <c r="B318" s="59" t="s">
        <v>39</v>
      </c>
      <c r="C318" s="59" t="s">
        <v>274</v>
      </c>
      <c r="D318" s="59" t="s">
        <v>18</v>
      </c>
      <c r="E318" s="61">
        <v>0</v>
      </c>
      <c r="F318" s="60">
        <v>400</v>
      </c>
      <c r="G318" s="91">
        <f>4.08164+45.91836</f>
        <v>50</v>
      </c>
      <c r="H318" s="91">
        <f>4.08164+45.91836</f>
        <v>50</v>
      </c>
      <c r="I318" s="91">
        <f t="shared" si="8"/>
        <v>100</v>
      </c>
    </row>
    <row r="319" spans="1:9" ht="15.75">
      <c r="A319" s="44" t="s">
        <v>212</v>
      </c>
      <c r="B319" s="59" t="s">
        <v>39</v>
      </c>
      <c r="C319" s="59" t="s">
        <v>92</v>
      </c>
      <c r="D319" s="59"/>
      <c r="E319" s="61"/>
      <c r="F319" s="60"/>
      <c r="G319" s="91">
        <f>SUM(G320)</f>
        <v>454.08164</v>
      </c>
      <c r="H319" s="91">
        <f>SUM(H320)</f>
        <v>454.08164</v>
      </c>
      <c r="I319" s="91">
        <f t="shared" si="8"/>
        <v>100</v>
      </c>
    </row>
    <row r="320" spans="1:9" ht="24">
      <c r="A320" s="44" t="s">
        <v>242</v>
      </c>
      <c r="B320" s="59" t="s">
        <v>39</v>
      </c>
      <c r="C320" s="59" t="s">
        <v>92</v>
      </c>
      <c r="D320" s="59" t="s">
        <v>18</v>
      </c>
      <c r="E320" s="61">
        <v>0</v>
      </c>
      <c r="F320" s="60"/>
      <c r="G320" s="91">
        <f>SUM(G321:G322)</f>
        <v>454.08164</v>
      </c>
      <c r="H320" s="91">
        <f>SUM(H321:H322)</f>
        <v>454.08164</v>
      </c>
      <c r="I320" s="91">
        <f t="shared" si="8"/>
        <v>100</v>
      </c>
    </row>
    <row r="321" spans="1:9" ht="24" customHeight="1">
      <c r="A321" s="44" t="s">
        <v>101</v>
      </c>
      <c r="B321" s="59" t="s">
        <v>39</v>
      </c>
      <c r="C321" s="59" t="s">
        <v>92</v>
      </c>
      <c r="D321" s="59" t="s">
        <v>18</v>
      </c>
      <c r="E321" s="61">
        <v>0</v>
      </c>
      <c r="F321" s="60">
        <v>200</v>
      </c>
      <c r="G321" s="91">
        <f>500+10-10-45.91836-16</f>
        <v>438.08164</v>
      </c>
      <c r="H321" s="91">
        <f>500+10-10-45.91836-16</f>
        <v>438.08164</v>
      </c>
      <c r="I321" s="91">
        <f t="shared" si="8"/>
        <v>100</v>
      </c>
    </row>
    <row r="322" spans="1:9" ht="18.75" customHeight="1">
      <c r="A322" s="44" t="s">
        <v>153</v>
      </c>
      <c r="B322" s="59" t="s">
        <v>39</v>
      </c>
      <c r="C322" s="59" t="s">
        <v>92</v>
      </c>
      <c r="D322" s="59" t="s">
        <v>18</v>
      </c>
      <c r="E322" s="61">
        <v>0</v>
      </c>
      <c r="F322" s="60">
        <v>300</v>
      </c>
      <c r="G322" s="91">
        <v>16</v>
      </c>
      <c r="H322" s="91">
        <v>16</v>
      </c>
      <c r="I322" s="91">
        <f t="shared" si="8"/>
        <v>100</v>
      </c>
    </row>
    <row r="323" spans="1:9" ht="15.75">
      <c r="A323" s="44" t="s">
        <v>93</v>
      </c>
      <c r="B323" s="59" t="s">
        <v>39</v>
      </c>
      <c r="C323" s="59" t="s">
        <v>135</v>
      </c>
      <c r="D323" s="59"/>
      <c r="E323" s="61"/>
      <c r="F323" s="60"/>
      <c r="G323" s="91">
        <f>SUM(G325)</f>
        <v>2181.1</v>
      </c>
      <c r="H323" s="91">
        <f>SUM(H325)</f>
        <v>2181.1</v>
      </c>
      <c r="I323" s="91">
        <f t="shared" si="8"/>
        <v>100</v>
      </c>
    </row>
    <row r="324" spans="1:9" ht="18.75" customHeight="1">
      <c r="A324" s="44" t="s">
        <v>94</v>
      </c>
      <c r="B324" s="59" t="s">
        <v>39</v>
      </c>
      <c r="C324" s="59" t="s">
        <v>95</v>
      </c>
      <c r="D324" s="59"/>
      <c r="E324" s="61"/>
      <c r="F324" s="106"/>
      <c r="G324" s="91">
        <f>SUM(G325)</f>
        <v>2181.1</v>
      </c>
      <c r="H324" s="91">
        <f>SUM(H325)</f>
        <v>2181.1</v>
      </c>
      <c r="I324" s="91">
        <f t="shared" si="8"/>
        <v>100</v>
      </c>
    </row>
    <row r="325" spans="1:9" ht="24.75" customHeight="1">
      <c r="A325" s="44" t="s">
        <v>256</v>
      </c>
      <c r="B325" s="59" t="s">
        <v>39</v>
      </c>
      <c r="C325" s="59" t="s">
        <v>95</v>
      </c>
      <c r="D325" s="59" t="s">
        <v>138</v>
      </c>
      <c r="E325" s="61">
        <v>0</v>
      </c>
      <c r="F325" s="60"/>
      <c r="G325" s="91">
        <f>SUM(G326:G327)</f>
        <v>2181.1</v>
      </c>
      <c r="H325" s="91">
        <f>SUM(H326:H327)</f>
        <v>2181.1</v>
      </c>
      <c r="I325" s="91">
        <f t="shared" si="8"/>
        <v>100</v>
      </c>
    </row>
    <row r="326" spans="1:9" ht="24">
      <c r="A326" s="44" t="s">
        <v>152</v>
      </c>
      <c r="B326" s="59" t="s">
        <v>39</v>
      </c>
      <c r="C326" s="59" t="s">
        <v>95</v>
      </c>
      <c r="D326" s="59" t="s">
        <v>138</v>
      </c>
      <c r="E326" s="61">
        <v>0</v>
      </c>
      <c r="F326" s="60">
        <v>600</v>
      </c>
      <c r="G326" s="91">
        <v>1200</v>
      </c>
      <c r="H326" s="91">
        <v>1200</v>
      </c>
      <c r="I326" s="91">
        <f t="shared" si="8"/>
        <v>100</v>
      </c>
    </row>
    <row r="327" spans="1:9" ht="84">
      <c r="A327" s="44" t="s">
        <v>196</v>
      </c>
      <c r="B327" s="59" t="s">
        <v>39</v>
      </c>
      <c r="C327" s="59" t="s">
        <v>95</v>
      </c>
      <c r="D327" s="59" t="s">
        <v>138</v>
      </c>
      <c r="E327" s="61">
        <v>0</v>
      </c>
      <c r="F327" s="60">
        <v>600</v>
      </c>
      <c r="G327" s="91">
        <f>1049.4+22.1-90.4</f>
        <v>981.1</v>
      </c>
      <c r="H327" s="91">
        <f>1049.4+22.1-90.4</f>
        <v>981.1</v>
      </c>
      <c r="I327" s="91">
        <f t="shared" si="8"/>
        <v>100</v>
      </c>
    </row>
    <row r="328" spans="1:9" ht="15.75">
      <c r="A328" s="44" t="s">
        <v>96</v>
      </c>
      <c r="B328" s="59" t="s">
        <v>39</v>
      </c>
      <c r="C328" s="59" t="s">
        <v>136</v>
      </c>
      <c r="D328" s="59"/>
      <c r="E328" s="61"/>
      <c r="F328" s="60"/>
      <c r="G328" s="91">
        <f>SUM(G331)</f>
        <v>312.57151</v>
      </c>
      <c r="H328" s="91">
        <f>SUM(H331)</f>
        <v>312.57151</v>
      </c>
      <c r="I328" s="91">
        <f t="shared" si="8"/>
        <v>100</v>
      </c>
    </row>
    <row r="329" spans="1:9" ht="15.75">
      <c r="A329" s="44" t="s">
        <v>163</v>
      </c>
      <c r="B329" s="59" t="s">
        <v>39</v>
      </c>
      <c r="C329" s="59" t="s">
        <v>97</v>
      </c>
      <c r="D329" s="59"/>
      <c r="E329" s="61"/>
      <c r="F329" s="60"/>
      <c r="G329" s="91">
        <f>SUM(G330)</f>
        <v>312.57151</v>
      </c>
      <c r="H329" s="91">
        <f>SUM(H330)</f>
        <v>312.57151</v>
      </c>
      <c r="I329" s="91">
        <f t="shared" si="8"/>
        <v>100</v>
      </c>
    </row>
    <row r="330" spans="1:9" ht="24">
      <c r="A330" s="44" t="s">
        <v>151</v>
      </c>
      <c r="B330" s="59" t="s">
        <v>39</v>
      </c>
      <c r="C330" s="59" t="s">
        <v>97</v>
      </c>
      <c r="D330" s="59" t="s">
        <v>16</v>
      </c>
      <c r="E330" s="61">
        <v>0</v>
      </c>
      <c r="F330" s="60"/>
      <c r="G330" s="91">
        <f>SUM(G331)</f>
        <v>312.57151</v>
      </c>
      <c r="H330" s="91">
        <f>SUM(H331)</f>
        <v>312.57151</v>
      </c>
      <c r="I330" s="91">
        <f aca="true" t="shared" si="9" ref="I330:I336">SUM(H330/G330)*100</f>
        <v>100</v>
      </c>
    </row>
    <row r="331" spans="1:9" ht="15.75">
      <c r="A331" s="44" t="s">
        <v>291</v>
      </c>
      <c r="B331" s="59" t="s">
        <v>39</v>
      </c>
      <c r="C331" s="59" t="s">
        <v>97</v>
      </c>
      <c r="D331" s="59" t="s">
        <v>16</v>
      </c>
      <c r="E331" s="61">
        <v>0</v>
      </c>
      <c r="F331" s="60">
        <v>700</v>
      </c>
      <c r="G331" s="91">
        <f>400-87.42849</f>
        <v>312.57151</v>
      </c>
      <c r="H331" s="91">
        <f>400-87.42849</f>
        <v>312.57151</v>
      </c>
      <c r="I331" s="91">
        <f t="shared" si="9"/>
        <v>100</v>
      </c>
    </row>
    <row r="332" spans="1:9" ht="24">
      <c r="A332" s="44" t="s">
        <v>164</v>
      </c>
      <c r="B332" s="59" t="s">
        <v>39</v>
      </c>
      <c r="C332" s="59" t="s">
        <v>165</v>
      </c>
      <c r="D332" s="59"/>
      <c r="E332" s="61"/>
      <c r="F332" s="60"/>
      <c r="G332" s="91">
        <f aca="true" t="shared" si="10" ref="G332:H334">SUM(G333)</f>
        <v>18627.49861</v>
      </c>
      <c r="H332" s="91">
        <f t="shared" si="10"/>
        <v>18503.7486</v>
      </c>
      <c r="I332" s="91">
        <f t="shared" si="9"/>
        <v>99.33565953974322</v>
      </c>
    </row>
    <row r="333" spans="1:9" ht="15.75">
      <c r="A333" s="44" t="s">
        <v>166</v>
      </c>
      <c r="B333" s="59" t="s">
        <v>39</v>
      </c>
      <c r="C333" s="59" t="s">
        <v>167</v>
      </c>
      <c r="D333" s="59"/>
      <c r="E333" s="61"/>
      <c r="F333" s="60"/>
      <c r="G333" s="91">
        <f t="shared" si="10"/>
        <v>18627.49861</v>
      </c>
      <c r="H333" s="91">
        <f t="shared" si="10"/>
        <v>18503.7486</v>
      </c>
      <c r="I333" s="91">
        <f t="shared" si="9"/>
        <v>99.33565953974322</v>
      </c>
    </row>
    <row r="334" spans="1:9" ht="24">
      <c r="A334" s="44" t="s">
        <v>151</v>
      </c>
      <c r="B334" s="59" t="s">
        <v>39</v>
      </c>
      <c r="C334" s="59" t="s">
        <v>167</v>
      </c>
      <c r="D334" s="59" t="s">
        <v>16</v>
      </c>
      <c r="E334" s="61">
        <v>0</v>
      </c>
      <c r="F334" s="60"/>
      <c r="G334" s="91">
        <f t="shared" si="10"/>
        <v>18627.49861</v>
      </c>
      <c r="H334" s="91">
        <f t="shared" si="10"/>
        <v>18503.7486</v>
      </c>
      <c r="I334" s="91">
        <f t="shared" si="9"/>
        <v>99.33565953974322</v>
      </c>
    </row>
    <row r="335" spans="1:9" ht="15.75">
      <c r="A335" s="44" t="s">
        <v>154</v>
      </c>
      <c r="B335" s="59" t="s">
        <v>39</v>
      </c>
      <c r="C335" s="59" t="s">
        <v>167</v>
      </c>
      <c r="D335" s="59" t="s">
        <v>16</v>
      </c>
      <c r="E335" s="61">
        <v>0</v>
      </c>
      <c r="F335" s="60">
        <v>500</v>
      </c>
      <c r="G335" s="91">
        <f>17567-1923.5+2983.99861</f>
        <v>18627.49861</v>
      </c>
      <c r="H335" s="91">
        <v>18503.7486</v>
      </c>
      <c r="I335" s="91">
        <f t="shared" si="9"/>
        <v>99.33565953974322</v>
      </c>
    </row>
    <row r="336" spans="1:9" ht="15.75">
      <c r="A336" s="44" t="s">
        <v>98</v>
      </c>
      <c r="B336" s="59"/>
      <c r="C336" s="59"/>
      <c r="D336" s="59"/>
      <c r="E336" s="61"/>
      <c r="F336" s="60"/>
      <c r="G336" s="91">
        <f>SUM(G10+G18+G26)</f>
        <v>572646.8150299999</v>
      </c>
      <c r="H336" s="91">
        <f>SUM(H10+H18+H26)</f>
        <v>569008.31394</v>
      </c>
      <c r="I336" s="91">
        <f t="shared" si="9"/>
        <v>99.36461689919479</v>
      </c>
    </row>
  </sheetData>
  <sheetProtection/>
  <mergeCells count="6">
    <mergeCell ref="G8:H8"/>
    <mergeCell ref="G1:I1"/>
    <mergeCell ref="A6:I6"/>
    <mergeCell ref="E2:I2"/>
    <mergeCell ref="A3:I3"/>
    <mergeCell ref="B4:I4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7"/>
  <sheetViews>
    <sheetView showGridLines="0" zoomScale="110" zoomScaleNormal="110" zoomScalePageLayoutView="0" workbookViewId="0" topLeftCell="A1">
      <pane ySplit="9" topLeftCell="A332" activePane="bottomLeft" state="frozen"/>
      <selection pane="topLeft" activeCell="A1" sqref="A1"/>
      <selection pane="bottomLeft" activeCell="H248" sqref="H248"/>
    </sheetView>
  </sheetViews>
  <sheetFormatPr defaultColWidth="9.140625" defaultRowHeight="12.75" outlineLevelRow="5"/>
  <cols>
    <col min="1" max="1" width="47.140625" style="7" customWidth="1"/>
    <col min="2" max="2" width="5.7109375" style="12" customWidth="1"/>
    <col min="3" max="3" width="6.00390625" style="12" customWidth="1"/>
    <col min="4" max="4" width="4.28125" style="13" customWidth="1"/>
    <col min="5" max="5" width="4.28125" style="11" customWidth="1"/>
    <col min="6" max="6" width="9.57421875" style="2" customWidth="1"/>
    <col min="7" max="7" width="10.00390625" style="2" customWidth="1"/>
    <col min="8" max="8" width="7.00390625" style="2" customWidth="1"/>
    <col min="9" max="16384" width="9.140625" style="2" customWidth="1"/>
  </cols>
  <sheetData>
    <row r="1" spans="1:8" ht="18.75" customHeight="1">
      <c r="A1" s="53"/>
      <c r="B1" s="54"/>
      <c r="C1" s="55"/>
      <c r="D1" s="55"/>
      <c r="E1" s="55"/>
      <c r="F1" s="117"/>
      <c r="G1" s="117"/>
      <c r="H1" s="117"/>
    </row>
    <row r="2" spans="1:8" ht="12.75" customHeight="1">
      <c r="A2" s="53"/>
      <c r="B2" s="117" t="s">
        <v>139</v>
      </c>
      <c r="C2" s="117"/>
      <c r="D2" s="117"/>
      <c r="E2" s="117"/>
      <c r="F2" s="117"/>
      <c r="G2" s="117"/>
      <c r="H2" s="117"/>
    </row>
    <row r="3" spans="1:8" ht="18.75" customHeight="1">
      <c r="A3" s="53"/>
      <c r="B3" s="54"/>
      <c r="C3" s="54"/>
      <c r="D3" s="56"/>
      <c r="E3" s="117" t="s">
        <v>140</v>
      </c>
      <c r="F3" s="117"/>
      <c r="G3" s="117"/>
      <c r="H3" s="117"/>
    </row>
    <row r="4" spans="1:8" ht="18.75" customHeight="1">
      <c r="A4" s="117" t="s">
        <v>150</v>
      </c>
      <c r="B4" s="117"/>
      <c r="C4" s="117"/>
      <c r="D4" s="117"/>
      <c r="E4" s="117"/>
      <c r="F4" s="117"/>
      <c r="G4" s="117"/>
      <c r="H4" s="117"/>
    </row>
    <row r="5" spans="1:5" ht="15">
      <c r="A5" s="8"/>
      <c r="B5" s="1"/>
      <c r="C5" s="1"/>
      <c r="D5" s="5"/>
      <c r="E5" s="10"/>
    </row>
    <row r="6" spans="1:8" ht="33" customHeight="1">
      <c r="A6" s="122" t="s">
        <v>302</v>
      </c>
      <c r="B6" s="122"/>
      <c r="C6" s="122"/>
      <c r="D6" s="122"/>
      <c r="E6" s="122"/>
      <c r="F6" s="122"/>
      <c r="G6" s="122"/>
      <c r="H6" s="122"/>
    </row>
    <row r="7" spans="1:5" ht="7.5" customHeight="1">
      <c r="A7" s="29"/>
      <c r="B7" s="30"/>
      <c r="C7" s="30"/>
      <c r="D7" s="31"/>
      <c r="E7" s="32"/>
    </row>
    <row r="8" spans="1:8" ht="6.75" customHeight="1">
      <c r="A8" s="29"/>
      <c r="B8" s="30"/>
      <c r="C8" s="30"/>
      <c r="D8" s="31"/>
      <c r="E8" s="32"/>
      <c r="F8" s="121"/>
      <c r="G8" s="121"/>
      <c r="H8" s="78" t="s">
        <v>290</v>
      </c>
    </row>
    <row r="9" spans="1:8" ht="87.75" customHeight="1">
      <c r="A9" s="34" t="s">
        <v>1</v>
      </c>
      <c r="B9" s="83" t="s">
        <v>175</v>
      </c>
      <c r="C9" s="43" t="s">
        <v>341</v>
      </c>
      <c r="D9" s="87" t="s">
        <v>8</v>
      </c>
      <c r="E9" s="88" t="s">
        <v>339</v>
      </c>
      <c r="F9" s="33" t="s">
        <v>344</v>
      </c>
      <c r="G9" s="33" t="s">
        <v>346</v>
      </c>
      <c r="H9" s="33" t="s">
        <v>345</v>
      </c>
    </row>
    <row r="10" spans="1:8" s="4" customFormat="1" ht="12.75" outlineLevel="3">
      <c r="A10" s="44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7">
        <f>SUM(F11+F20+F50+F54+F57+F14+F44+F40)</f>
        <v>81496.58566999999</v>
      </c>
      <c r="G10" s="57">
        <f>SUM(G11+G20+G50+G54+G57+G14+G44+G40)</f>
        <v>81368.56727999999</v>
      </c>
      <c r="H10" s="63">
        <f aca="true" t="shared" si="0" ref="H10:H71">SUM(G10/F10)*100</f>
        <v>99.84291564002648</v>
      </c>
    </row>
    <row r="11" spans="1:8" s="4" customFormat="1" ht="24" outlineLevel="3">
      <c r="A11" s="4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7">
        <f>SUM(F12)</f>
        <v>1762.25885</v>
      </c>
      <c r="G11" s="57">
        <f>SUM(G12)</f>
        <v>1762.25885</v>
      </c>
      <c r="H11" s="63">
        <f t="shared" si="0"/>
        <v>100</v>
      </c>
    </row>
    <row r="12" spans="1:8" s="4" customFormat="1" ht="36" outlineLevel="3">
      <c r="A12" s="4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7">
        <f>SUM(F13)</f>
        <v>1762.25885</v>
      </c>
      <c r="G12" s="57">
        <f>SUM(G13)</f>
        <v>1762.25885</v>
      </c>
      <c r="H12" s="63">
        <f t="shared" si="0"/>
        <v>100</v>
      </c>
    </row>
    <row r="13" spans="1:8" ht="48" outlineLevel="1">
      <c r="A13" s="4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7">
        <f>SUM('Приложение 3'!G30)</f>
        <v>1762.25885</v>
      </c>
      <c r="G13" s="57">
        <f>SUM('Приложение 3'!H30)</f>
        <v>1762.25885</v>
      </c>
      <c r="H13" s="63">
        <f t="shared" si="0"/>
        <v>100</v>
      </c>
    </row>
    <row r="14" spans="1:8" ht="37.5" customHeight="1" outlineLevel="1">
      <c r="A14" s="4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7">
        <f>SUBTOTAL(9,'Приложение 3'!G11)</f>
        <v>432.97807</v>
      </c>
      <c r="G14" s="57">
        <f>SUBTOTAL(9,'Приложение 3'!H11)</f>
        <v>432.97807</v>
      </c>
      <c r="H14" s="63">
        <f t="shared" si="0"/>
        <v>100</v>
      </c>
    </row>
    <row r="15" spans="1:8" ht="24.75" customHeight="1" outlineLevel="1">
      <c r="A15" s="4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7">
        <f>SUBTOTAL(9,'Приложение 3'!G12)</f>
        <v>432.97807</v>
      </c>
      <c r="G15" s="57">
        <f>SUBTOTAL(9,'Приложение 3'!H12)</f>
        <v>432.97807</v>
      </c>
      <c r="H15" s="63">
        <f t="shared" si="0"/>
        <v>100</v>
      </c>
    </row>
    <row r="16" spans="1:8" ht="48" outlineLevel="1">
      <c r="A16" s="4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7">
        <f>SUBTOTAL(9,'Приложение 3'!G14)</f>
        <v>371.63407</v>
      </c>
      <c r="G16" s="57">
        <f>SUBTOTAL(9,'Приложение 3'!H14)</f>
        <v>371.63407</v>
      </c>
      <c r="H16" s="63">
        <f t="shared" si="0"/>
        <v>100</v>
      </c>
    </row>
    <row r="17" spans="1:8" ht="24" outlineLevel="1">
      <c r="A17" s="44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7">
        <f>SUBTOTAL(9,'Приложение 3'!G15)</f>
        <v>61.34400000000001</v>
      </c>
      <c r="G17" s="57">
        <f>SUBTOTAL(9,'Приложение 3'!H15)</f>
        <v>61.34400000000001</v>
      </c>
      <c r="H17" s="63">
        <f t="shared" si="0"/>
        <v>100</v>
      </c>
    </row>
    <row r="18" spans="1:8" ht="27.75" customHeight="1" hidden="1" outlineLevel="1">
      <c r="A18" s="44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7">
        <f>SUBTOTAL(9,'Приложение 3'!G16)</f>
        <v>0</v>
      </c>
      <c r="G18" s="57">
        <f>SUBTOTAL(9,'Приложение 3'!H16)</f>
        <v>0</v>
      </c>
      <c r="H18" s="63" t="e">
        <f t="shared" si="0"/>
        <v>#DIV/0!</v>
      </c>
    </row>
    <row r="19" spans="1:8" ht="12.75" hidden="1" outlineLevel="1">
      <c r="A19" s="44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7">
        <f>SUBTOTAL(9,'Приложение 3'!G17)</f>
        <v>0</v>
      </c>
      <c r="G19" s="57">
        <f>SUBTOTAL(9,'Приложение 3'!H17)</f>
        <v>0</v>
      </c>
      <c r="H19" s="63" t="e">
        <f t="shared" si="0"/>
        <v>#DIV/0!</v>
      </c>
    </row>
    <row r="20" spans="1:8" ht="36" outlineLevel="2">
      <c r="A20" s="4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7">
        <f>'Приложение 3'!G31</f>
        <v>30000.460819999997</v>
      </c>
      <c r="G20" s="57">
        <f>'Приложение 3'!H31</f>
        <v>30000.460819999997</v>
      </c>
      <c r="H20" s="63">
        <f t="shared" si="0"/>
        <v>100</v>
      </c>
    </row>
    <row r="21" spans="1:8" s="4" customFormat="1" ht="36" outlineLevel="3">
      <c r="A21" s="4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7">
        <f>'Приложение 3'!G32</f>
        <v>29947.539139999997</v>
      </c>
      <c r="G21" s="57">
        <f>'Приложение 3'!H32</f>
        <v>29947.539139999997</v>
      </c>
      <c r="H21" s="63">
        <f t="shared" si="0"/>
        <v>100</v>
      </c>
    </row>
    <row r="22" spans="1:8" s="4" customFormat="1" ht="12.75" outlineLevel="3">
      <c r="A22" s="45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7">
        <f>'Приложение 3'!G33</f>
        <v>27935.43914</v>
      </c>
      <c r="G22" s="57">
        <f>'Приложение 3'!H33</f>
        <v>27935.43914</v>
      </c>
      <c r="H22" s="63">
        <f t="shared" si="0"/>
        <v>100</v>
      </c>
    </row>
    <row r="23" spans="1:8" s="4" customFormat="1" ht="48" outlineLevel="3">
      <c r="A23" s="4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7">
        <f>'Приложение 3'!G34</f>
        <v>26263.83815</v>
      </c>
      <c r="G23" s="57">
        <f>'Приложение 3'!H34</f>
        <v>26263.83815</v>
      </c>
      <c r="H23" s="63">
        <f t="shared" si="0"/>
        <v>100</v>
      </c>
    </row>
    <row r="24" spans="1:8" ht="24" outlineLevel="1">
      <c r="A24" s="45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7">
        <f>'Приложение 3'!G35</f>
        <v>1671.6009900000001</v>
      </c>
      <c r="G24" s="57">
        <f>'Приложение 3'!H35</f>
        <v>1671.6009900000001</v>
      </c>
      <c r="H24" s="63">
        <f t="shared" si="0"/>
        <v>100</v>
      </c>
    </row>
    <row r="25" spans="1:8" ht="36" outlineLevel="2">
      <c r="A25" s="4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7">
        <f>'Приложение 3'!G36</f>
        <v>2012.1</v>
      </c>
      <c r="G25" s="57">
        <f>'Приложение 3'!H36</f>
        <v>2012.1</v>
      </c>
      <c r="H25" s="63">
        <f t="shared" si="0"/>
        <v>100</v>
      </c>
    </row>
    <row r="26" spans="1:8" ht="25.5" customHeight="1" outlineLevel="2">
      <c r="A26" s="4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7">
        <f>'Приложение 3'!G37</f>
        <v>296.7</v>
      </c>
      <c r="G26" s="57">
        <f>'Приложение 3'!H37</f>
        <v>296.7</v>
      </c>
      <c r="H26" s="63">
        <f t="shared" si="0"/>
        <v>100</v>
      </c>
    </row>
    <row r="27" spans="1:8" ht="48.75" customHeight="1">
      <c r="A27" s="4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69">
        <v>0</v>
      </c>
      <c r="E27" s="71">
        <v>100</v>
      </c>
      <c r="F27" s="57">
        <f>'Приложение 3'!G38</f>
        <v>267.31482</v>
      </c>
      <c r="G27" s="57">
        <f>'Приложение 3'!H38</f>
        <v>267.31482</v>
      </c>
      <c r="H27" s="63">
        <f t="shared" si="0"/>
        <v>100</v>
      </c>
    </row>
    <row r="28" spans="1:8" ht="24" hidden="1" outlineLevel="1">
      <c r="A28" s="45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7">
        <f>'Приложение 3'!G39</f>
        <v>29.38518</v>
      </c>
      <c r="G28" s="57">
        <f>'Приложение 3'!H39</f>
        <v>29.38518</v>
      </c>
      <c r="H28" s="63">
        <f t="shared" si="0"/>
        <v>100</v>
      </c>
    </row>
    <row r="29" spans="1:8" ht="24" outlineLevel="2">
      <c r="A29" s="45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7">
        <f>'Приложение 3'!G40</f>
        <v>935.8</v>
      </c>
      <c r="G29" s="57">
        <f>'Приложение 3'!H40</f>
        <v>935.8</v>
      </c>
      <c r="H29" s="63">
        <f t="shared" si="0"/>
        <v>100</v>
      </c>
    </row>
    <row r="30" spans="1:8" ht="48" outlineLevel="1">
      <c r="A30" s="4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7">
        <f>'Приложение 3'!G41</f>
        <v>862.47415</v>
      </c>
      <c r="G30" s="57">
        <f>'Приложение 3'!H41</f>
        <v>862.47415</v>
      </c>
      <c r="H30" s="63">
        <f t="shared" si="0"/>
        <v>100</v>
      </c>
    </row>
    <row r="31" spans="1:8" ht="24" outlineLevel="5">
      <c r="A31" s="45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7">
        <f>'Приложение 3'!G42</f>
        <v>73.32584999999999</v>
      </c>
      <c r="G31" s="57">
        <f>'Приложение 3'!H42</f>
        <v>73.32584999999999</v>
      </c>
      <c r="H31" s="63">
        <f t="shared" si="0"/>
        <v>100</v>
      </c>
    </row>
    <row r="32" spans="1:8" ht="39.75" customHeight="1" outlineLevel="5">
      <c r="A32" s="4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7">
        <f>'Приложение 3'!G43</f>
        <v>315.8</v>
      </c>
      <c r="G32" s="57">
        <f>'Приложение 3'!H43</f>
        <v>315.8</v>
      </c>
      <c r="H32" s="63">
        <f t="shared" si="0"/>
        <v>100</v>
      </c>
    </row>
    <row r="33" spans="1:8" ht="48" outlineLevel="5">
      <c r="A33" s="4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7">
        <f>'Приложение 3'!G44</f>
        <v>315.8</v>
      </c>
      <c r="G33" s="57">
        <f>'Приложение 3'!H44</f>
        <v>315.8</v>
      </c>
      <c r="H33" s="63">
        <f t="shared" si="0"/>
        <v>100</v>
      </c>
    </row>
    <row r="34" spans="1:8" ht="24" hidden="1" outlineLevel="2">
      <c r="A34" s="45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7">
        <f>'Приложение 3'!G45</f>
        <v>0</v>
      </c>
      <c r="G34" s="57">
        <f>'Приложение 3'!H45</f>
        <v>0</v>
      </c>
      <c r="H34" s="63" t="e">
        <f t="shared" si="0"/>
        <v>#DIV/0!</v>
      </c>
    </row>
    <row r="35" spans="1:8" ht="48" outlineLevel="4">
      <c r="A35" s="4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7">
        <f>'Приложение 3'!G46</f>
        <v>463.79999999999995</v>
      </c>
      <c r="G35" s="57">
        <f>'Приложение 3'!H46</f>
        <v>463.79999999999995</v>
      </c>
      <c r="H35" s="63">
        <f t="shared" si="0"/>
        <v>100</v>
      </c>
    </row>
    <row r="36" spans="1:8" ht="48" outlineLevel="4">
      <c r="A36" s="4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7">
        <f>'Приложение 3'!G47</f>
        <v>74.44313</v>
      </c>
      <c r="G36" s="57">
        <f>'Приложение 3'!H47</f>
        <v>74.44313</v>
      </c>
      <c r="H36" s="63">
        <f t="shared" si="0"/>
        <v>100</v>
      </c>
    </row>
    <row r="37" spans="1:8" ht="24" outlineLevel="5">
      <c r="A37" s="45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7">
        <f>'Приложение 3'!G48</f>
        <v>389.35686999999996</v>
      </c>
      <c r="G37" s="57">
        <f>'Приложение 3'!H48</f>
        <v>389.35686999999996</v>
      </c>
      <c r="H37" s="63">
        <f t="shared" si="0"/>
        <v>100</v>
      </c>
    </row>
    <row r="38" spans="1:8" ht="36" outlineLevel="4">
      <c r="A38" s="4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7">
        <f>'Приложение 3'!G49</f>
        <v>52.92168</v>
      </c>
      <c r="G38" s="57">
        <f>'Приложение 3'!H49</f>
        <v>52.92168</v>
      </c>
      <c r="H38" s="63">
        <f t="shared" si="0"/>
        <v>100</v>
      </c>
    </row>
    <row r="39" spans="1:8" ht="27" customHeight="1" outlineLevel="4">
      <c r="A39" s="45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7">
        <f>'Приложение 3'!G50</f>
        <v>52.92168</v>
      </c>
      <c r="G39" s="57">
        <f>'Приложение 3'!H50</f>
        <v>52.92168</v>
      </c>
      <c r="H39" s="63">
        <f t="shared" si="0"/>
        <v>100</v>
      </c>
    </row>
    <row r="40" spans="1:8" ht="12.75" outlineLevel="4">
      <c r="A40" s="45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7">
        <f>'Приложение 3'!G51</f>
        <v>3.4</v>
      </c>
      <c r="G40" s="57">
        <f>'Приложение 3'!H51</f>
        <v>0</v>
      </c>
      <c r="H40" s="63">
        <f t="shared" si="0"/>
        <v>0</v>
      </c>
    </row>
    <row r="41" spans="1:8" ht="36" outlineLevel="4">
      <c r="A41" s="4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7">
        <f>'Приложение 3'!G52</f>
        <v>3.4</v>
      </c>
      <c r="G41" s="57">
        <f>'Приложение 3'!H52</f>
        <v>0</v>
      </c>
      <c r="H41" s="63">
        <f t="shared" si="0"/>
        <v>0</v>
      </c>
    </row>
    <row r="42" spans="1:8" ht="24" outlineLevel="4">
      <c r="A42" s="45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7">
        <f>'Приложение 3'!G53</f>
        <v>3.4</v>
      </c>
      <c r="G42" s="57">
        <f>'Приложение 3'!H53</f>
        <v>0</v>
      </c>
      <c r="H42" s="63">
        <f t="shared" si="0"/>
        <v>0</v>
      </c>
    </row>
    <row r="43" spans="1:8" ht="24" outlineLevel="4">
      <c r="A43" s="45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7">
        <f>'Приложение 3'!G54</f>
        <v>3.4</v>
      </c>
      <c r="G43" s="57">
        <f>'Приложение 3'!H54</f>
        <v>0</v>
      </c>
      <c r="H43" s="63">
        <f t="shared" si="0"/>
        <v>0</v>
      </c>
    </row>
    <row r="44" spans="1:8" ht="36" outlineLevel="2">
      <c r="A44" s="4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7">
        <f>'Приложение 3'!G19</f>
        <v>1316.29101</v>
      </c>
      <c r="G44" s="57">
        <f>'Приложение 3'!H19</f>
        <v>1316.29101</v>
      </c>
      <c r="H44" s="63">
        <f t="shared" si="0"/>
        <v>100</v>
      </c>
    </row>
    <row r="45" spans="1:8" ht="36" outlineLevel="2">
      <c r="A45" s="4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7">
        <f>'Приложение 3'!G20</f>
        <v>1316.29101</v>
      </c>
      <c r="G45" s="57">
        <f>'Приложение 3'!H20</f>
        <v>1316.29101</v>
      </c>
      <c r="H45" s="63">
        <f t="shared" si="0"/>
        <v>100</v>
      </c>
    </row>
    <row r="46" spans="1:8" ht="48" outlineLevel="2">
      <c r="A46" s="4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7">
        <f>'Приложение 3'!G22</f>
        <v>1311.29101</v>
      </c>
      <c r="G46" s="57">
        <f>'Приложение 3'!H22</f>
        <v>1311.29101</v>
      </c>
      <c r="H46" s="63">
        <f t="shared" si="0"/>
        <v>100</v>
      </c>
    </row>
    <row r="47" spans="1:8" ht="24" outlineLevel="2">
      <c r="A47" s="44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7">
        <f>'Приложение 3'!G23</f>
        <v>0</v>
      </c>
      <c r="G47" s="57">
        <f>'Приложение 3'!H23</f>
        <v>0</v>
      </c>
      <c r="H47" s="63">
        <v>0</v>
      </c>
    </row>
    <row r="48" spans="1:8" ht="28.5" customHeight="1" outlineLevel="2">
      <c r="A48" s="44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7">
        <f>'Приложение 3'!G24</f>
        <v>5</v>
      </c>
      <c r="G48" s="57">
        <f>'Приложение 3'!H24</f>
        <v>5</v>
      </c>
      <c r="H48" s="63">
        <f t="shared" si="0"/>
        <v>100</v>
      </c>
    </row>
    <row r="49" spans="1:8" ht="12.75" outlineLevel="2">
      <c r="A49" s="44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7">
        <f>'Приложение 3'!G25</f>
        <v>5</v>
      </c>
      <c r="G49" s="57">
        <f>'Приложение 3'!H25</f>
        <v>5</v>
      </c>
      <c r="H49" s="63">
        <f t="shared" si="0"/>
        <v>100</v>
      </c>
    </row>
    <row r="50" spans="1:8" ht="1.5" customHeight="1" hidden="1" outlineLevel="2">
      <c r="A50" s="44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7">
        <f>'Приложение 3'!G55</f>
        <v>0</v>
      </c>
      <c r="G50" s="57">
        <f>'Приложение 3'!H55</f>
        <v>0</v>
      </c>
      <c r="H50" s="63" t="e">
        <f t="shared" si="0"/>
        <v>#DIV/0!</v>
      </c>
    </row>
    <row r="51" spans="1:8" ht="0.75" customHeight="1" hidden="1" outlineLevel="2">
      <c r="A51" s="44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7">
        <f>'Приложение 3'!G56</f>
        <v>0</v>
      </c>
      <c r="G51" s="57">
        <f>'Приложение 3'!H56</f>
        <v>0</v>
      </c>
      <c r="H51" s="63" t="e">
        <f t="shared" si="0"/>
        <v>#DIV/0!</v>
      </c>
    </row>
    <row r="52" spans="1:8" ht="30" customHeight="1" hidden="1" outlineLevel="5">
      <c r="A52" s="44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7">
        <f>'Приложение 3'!G57</f>
        <v>0</v>
      </c>
      <c r="G52" s="57">
        <f>'Приложение 3'!H57</f>
        <v>0</v>
      </c>
      <c r="H52" s="63" t="e">
        <f t="shared" si="0"/>
        <v>#DIV/0!</v>
      </c>
    </row>
    <row r="53" spans="1:8" ht="24" hidden="1" outlineLevel="5">
      <c r="A53" s="44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7">
        <f>'Приложение 3'!G58</f>
        <v>0</v>
      </c>
      <c r="G53" s="57">
        <f>'Приложение 3'!H58</f>
        <v>0</v>
      </c>
      <c r="H53" s="63" t="e">
        <f t="shared" si="0"/>
        <v>#DIV/0!</v>
      </c>
    </row>
    <row r="54" spans="1:8" ht="12.75" outlineLevel="5">
      <c r="A54" s="44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7">
        <f>'Приложение 3'!G59</f>
        <v>0</v>
      </c>
      <c r="G54" s="57">
        <f>'Приложение 3'!H59</f>
        <v>0</v>
      </c>
      <c r="H54" s="63">
        <v>0</v>
      </c>
    </row>
    <row r="55" spans="1:8" ht="28.5" customHeight="1" outlineLevel="1">
      <c r="A55" s="44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7">
        <f>'Приложение 3'!G60</f>
        <v>0</v>
      </c>
      <c r="G55" s="57">
        <f>'Приложение 3'!H60</f>
        <v>0</v>
      </c>
      <c r="H55" s="63">
        <v>0</v>
      </c>
    </row>
    <row r="56" spans="1:8" ht="17.25" customHeight="1" outlineLevel="2">
      <c r="A56" s="44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7">
        <f>'Приложение 3'!G61</f>
        <v>0</v>
      </c>
      <c r="G56" s="57">
        <f>'Приложение 3'!H61</f>
        <v>0</v>
      </c>
      <c r="H56" s="63">
        <v>0</v>
      </c>
    </row>
    <row r="57" spans="1:8" ht="15" customHeight="1" outlineLevel="2">
      <c r="A57" s="44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7">
        <f>'Приложение 3'!G62</f>
        <v>47981.19692</v>
      </c>
      <c r="G57" s="57">
        <f>'Приложение 3'!H62</f>
        <v>47856.57853</v>
      </c>
      <c r="H57" s="63">
        <f t="shared" si="0"/>
        <v>99.74027661250764</v>
      </c>
    </row>
    <row r="58" spans="1:8" ht="36" outlineLevel="2">
      <c r="A58" s="4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7">
        <f>'Приложение 3'!G63</f>
        <v>180.16482</v>
      </c>
      <c r="G58" s="57">
        <f>'Приложение 3'!H63</f>
        <v>180.16482</v>
      </c>
      <c r="H58" s="63">
        <f t="shared" si="0"/>
        <v>100</v>
      </c>
    </row>
    <row r="59" spans="1:8" ht="36" hidden="1" outlineLevel="2">
      <c r="A59" s="4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7">
        <f>'Приложение 3'!G64</f>
        <v>0</v>
      </c>
      <c r="G59" s="57">
        <f>'Приложение 3'!H64</f>
        <v>0</v>
      </c>
      <c r="H59" s="63" t="e">
        <f t="shared" si="0"/>
        <v>#DIV/0!</v>
      </c>
    </row>
    <row r="60" spans="1:8" ht="24" hidden="1" outlineLevel="2">
      <c r="A60" s="44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170</v>
      </c>
      <c r="F60" s="57">
        <f>'Приложение 3'!G65</f>
        <v>0</v>
      </c>
      <c r="G60" s="57">
        <f>'Приложение 3'!H65</f>
        <v>0</v>
      </c>
      <c r="H60" s="63" t="e">
        <f t="shared" si="0"/>
        <v>#DIV/0!</v>
      </c>
    </row>
    <row r="61" spans="1:8" ht="40.5" customHeight="1" outlineLevel="2">
      <c r="A61" s="4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7">
        <f>'Приложение 3'!G66</f>
        <v>180.16482</v>
      </c>
      <c r="G61" s="57">
        <f>'Приложение 3'!H66</f>
        <v>180.16482</v>
      </c>
      <c r="H61" s="63">
        <f t="shared" si="0"/>
        <v>100</v>
      </c>
    </row>
    <row r="62" spans="1:8" ht="27" customHeight="1" outlineLevel="2">
      <c r="A62" s="44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7">
        <f>'Приложение 3'!G67</f>
        <v>180.16482</v>
      </c>
      <c r="G62" s="57">
        <f>'Приложение 3'!H67</f>
        <v>180.16482</v>
      </c>
      <c r="H62" s="63">
        <f t="shared" si="0"/>
        <v>100</v>
      </c>
    </row>
    <row r="63" spans="1:8" ht="24" outlineLevel="2">
      <c r="A63" s="44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7">
        <f>'Приложение 3'!G68</f>
        <v>133.911</v>
      </c>
      <c r="G63" s="57">
        <f>'Приложение 3'!H68</f>
        <v>133.911</v>
      </c>
      <c r="H63" s="63">
        <f t="shared" si="0"/>
        <v>100</v>
      </c>
    </row>
    <row r="64" spans="1:8" ht="24" outlineLevel="2">
      <c r="A64" s="44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7">
        <f>'Приложение 3'!G69</f>
        <v>133.911</v>
      </c>
      <c r="G64" s="57">
        <f>'Приложение 3'!H69</f>
        <v>133.911</v>
      </c>
      <c r="H64" s="63">
        <f t="shared" si="0"/>
        <v>100</v>
      </c>
    </row>
    <row r="65" spans="1:8" ht="36" outlineLevel="2">
      <c r="A65" s="44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2" t="str">
        <f>'Приложение 3'!C70</f>
        <v>0113</v>
      </c>
      <c r="C65" s="72" t="str">
        <f>'Приложение 3'!D70</f>
        <v>20</v>
      </c>
      <c r="D65" s="72">
        <f>'Приложение 3'!E70</f>
        <v>0</v>
      </c>
      <c r="E65" s="72"/>
      <c r="F65" s="57">
        <f>'Приложение 3'!G70</f>
        <v>0</v>
      </c>
      <c r="G65" s="57">
        <f>'Приложение 3'!H70</f>
        <v>0</v>
      </c>
      <c r="H65" s="63">
        <v>0</v>
      </c>
    </row>
    <row r="66" spans="1:8" ht="15" customHeight="1" outlineLevel="2">
      <c r="A66" s="44" t="str">
        <f>'Приложение 3'!A71</f>
        <v>Подпрограмма "Профилактика правонарушений"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1</v>
      </c>
      <c r="E66" s="72"/>
      <c r="F66" s="57">
        <f>'Приложение 3'!G71</f>
        <v>0</v>
      </c>
      <c r="G66" s="57">
        <f>'Приложение 3'!H71</f>
        <v>0</v>
      </c>
      <c r="H66" s="63">
        <v>0</v>
      </c>
    </row>
    <row r="67" spans="1:8" ht="24" outlineLevel="2">
      <c r="A67" s="44" t="str">
        <f>'Приложение 3'!A72</f>
        <v>Закупка товаров, работ и услуг для государственных (муниципальных) нужд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>
        <f>'Приложение 3'!F72</f>
        <v>200</v>
      </c>
      <c r="F67" s="57">
        <f>'Приложение 3'!G72</f>
        <v>0</v>
      </c>
      <c r="G67" s="57">
        <f>'Приложение 3'!H72</f>
        <v>0</v>
      </c>
      <c r="H67" s="63">
        <v>0</v>
      </c>
    </row>
    <row r="68" spans="1:8" ht="24" outlineLevel="2">
      <c r="A68" s="44" t="str">
        <f>'Приложение 3'!A73</f>
        <v>Подпрограмма "Формирование законопослушного поведения участников дорожного движения"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2</v>
      </c>
      <c r="E68" s="72"/>
      <c r="F68" s="57">
        <f>'Приложение 3'!G73</f>
        <v>0</v>
      </c>
      <c r="G68" s="57">
        <f>'Приложение 3'!H73</f>
        <v>0</v>
      </c>
      <c r="H68" s="63">
        <v>0</v>
      </c>
    </row>
    <row r="69" spans="1:8" ht="24" outlineLevel="2">
      <c r="A69" s="44" t="str">
        <f>'Приложение 3'!A74</f>
        <v>Закупка товаров, работ и услуг для государственных (муниципальных) нужд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>
        <f>'Приложение 3'!F74</f>
        <v>200</v>
      </c>
      <c r="F69" s="57">
        <f>'Приложение 3'!G74</f>
        <v>0</v>
      </c>
      <c r="G69" s="57">
        <f>'Приложение 3'!H74</f>
        <v>0</v>
      </c>
      <c r="H69" s="63">
        <v>0</v>
      </c>
    </row>
    <row r="70" spans="1:8" ht="36" hidden="1" outlineLevel="2">
      <c r="A70" s="44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2" t="str">
        <f>'Приложение 3'!C75</f>
        <v>0113</v>
      </c>
      <c r="C70" s="72" t="str">
        <f>'Приложение 3'!D75</f>
        <v>21</v>
      </c>
      <c r="D70" s="72">
        <f>'Приложение 3'!E75</f>
        <v>0</v>
      </c>
      <c r="E70" s="72"/>
      <c r="F70" s="57">
        <f>'Приложение 3'!G75</f>
        <v>0</v>
      </c>
      <c r="G70" s="57">
        <f>'Приложение 3'!H75</f>
        <v>0</v>
      </c>
      <c r="H70" s="63" t="e">
        <f t="shared" si="0"/>
        <v>#DIV/0!</v>
      </c>
    </row>
    <row r="71" spans="1:8" ht="24" hidden="1" outlineLevel="2">
      <c r="A71" s="44" t="str">
        <f>'Приложение 3'!A76</f>
        <v>Закупка товаров, работ и услуг для государственных (муниципальных) нужд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>
        <f>'Приложение 3'!F76</f>
        <v>200</v>
      </c>
      <c r="F71" s="57">
        <f>'Приложение 3'!G76</f>
        <v>0</v>
      </c>
      <c r="G71" s="57">
        <f>'Приложение 3'!H76</f>
        <v>0</v>
      </c>
      <c r="H71" s="63" t="e">
        <f t="shared" si="0"/>
        <v>#DIV/0!</v>
      </c>
    </row>
    <row r="72" spans="1:8" ht="36" outlineLevel="2">
      <c r="A72" s="44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2" t="str">
        <f>'Приложение 3'!C77</f>
        <v>0113</v>
      </c>
      <c r="C72" s="72" t="str">
        <f>'Приложение 3'!D77</f>
        <v>23</v>
      </c>
      <c r="D72" s="72">
        <f>'Приложение 3'!E77</f>
        <v>0</v>
      </c>
      <c r="E72" s="72"/>
      <c r="F72" s="57">
        <f>'Приложение 3'!G77</f>
        <v>0</v>
      </c>
      <c r="G72" s="57">
        <f>'Приложение 3'!H77</f>
        <v>0</v>
      </c>
      <c r="H72" s="63">
        <v>0</v>
      </c>
    </row>
    <row r="73" spans="1:8" ht="24" outlineLevel="2">
      <c r="A73" s="44" t="str">
        <f>'Приложение 3'!A78</f>
        <v>Закупка товаров, работ и услуг для государственных (муниципальных) нужд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>
        <f>'Приложение 3'!F78</f>
        <v>200</v>
      </c>
      <c r="F73" s="57">
        <f>'Приложение 3'!G78</f>
        <v>0</v>
      </c>
      <c r="G73" s="57">
        <f>'Приложение 3'!H78</f>
        <v>0</v>
      </c>
      <c r="H73" s="63">
        <v>0</v>
      </c>
    </row>
    <row r="74" spans="1:8" ht="60" outlineLevel="2">
      <c r="A74" s="44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2" t="str">
        <f>'Приложение 3'!C79</f>
        <v>0113</v>
      </c>
      <c r="C74" s="72" t="str">
        <f>'Приложение 3'!D79</f>
        <v>51</v>
      </c>
      <c r="D74" s="72">
        <f>'Приложение 3'!E79</f>
        <v>0</v>
      </c>
      <c r="E74" s="72"/>
      <c r="F74" s="57">
        <f>'Приложение 3'!G79</f>
        <v>45027.06622</v>
      </c>
      <c r="G74" s="57">
        <f>'Приложение 3'!H79</f>
        <v>45027.06622</v>
      </c>
      <c r="H74" s="63">
        <f aca="true" t="shared" si="1" ref="H74:H137">SUM(G74/F74)*100</f>
        <v>100</v>
      </c>
    </row>
    <row r="75" spans="1:8" ht="24" outlineLevel="2">
      <c r="A75" s="44" t="str">
        <f>'Приложение 3'!A80</f>
        <v>Предоставление субсидий бюджетным, автономным учреждениям и иным некоммерческим организациям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>
        <f>'Приложение 3'!F80</f>
        <v>600</v>
      </c>
      <c r="F75" s="57">
        <f>'Приложение 3'!G80</f>
        <v>44203.66758</v>
      </c>
      <c r="G75" s="57">
        <f>'Приложение 3'!H80</f>
        <v>44203.66758</v>
      </c>
      <c r="H75" s="63">
        <f t="shared" si="1"/>
        <v>100</v>
      </c>
    </row>
    <row r="76" spans="1:8" ht="51.75" customHeight="1" outlineLevel="2">
      <c r="A76" s="44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7">
        <f>'Приложение 3'!G81</f>
        <v>823.39864</v>
      </c>
      <c r="G76" s="57">
        <f>'Приложение 3'!H81</f>
        <v>823.39864</v>
      </c>
      <c r="H76" s="63">
        <f t="shared" si="1"/>
        <v>100</v>
      </c>
    </row>
    <row r="77" spans="1:8" ht="12.75" outlineLevel="2">
      <c r="A77" s="44" t="str">
        <f>'Приложение 3'!A82</f>
        <v>Государственная регистрация актов гражданского состояния</v>
      </c>
      <c r="B77" s="72" t="str">
        <f>'Приложение 3'!C82</f>
        <v>0113</v>
      </c>
      <c r="C77" s="72">
        <f>'Приложение 3'!D82</f>
        <v>0</v>
      </c>
      <c r="D77" s="72">
        <f>'Приложение 3'!E82</f>
        <v>0</v>
      </c>
      <c r="E77" s="72"/>
      <c r="F77" s="57">
        <f>'Приложение 3'!G82</f>
        <v>1163.8999999999999</v>
      </c>
      <c r="G77" s="57">
        <f>'Приложение 3'!H82</f>
        <v>1163.8999999999999</v>
      </c>
      <c r="H77" s="63">
        <f t="shared" si="1"/>
        <v>100</v>
      </c>
    </row>
    <row r="78" spans="1:8" ht="36" outlineLevel="2">
      <c r="A78" s="44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2" t="str">
        <f>'Приложение 3'!C83</f>
        <v>0113</v>
      </c>
      <c r="C78" s="72" t="str">
        <f>'Приложение 3'!D83</f>
        <v>90</v>
      </c>
      <c r="D78" s="72">
        <f>'Приложение 3'!E83</f>
        <v>0</v>
      </c>
      <c r="E78" s="72"/>
      <c r="F78" s="57">
        <f>'Приложение 3'!G83</f>
        <v>1163.8999999999999</v>
      </c>
      <c r="G78" s="57">
        <f>'Приложение 3'!H83</f>
        <v>1163.8999999999999</v>
      </c>
      <c r="H78" s="63">
        <f t="shared" si="1"/>
        <v>100</v>
      </c>
    </row>
    <row r="79" spans="1:8" ht="48" outlineLevel="2">
      <c r="A79" s="44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2" t="str">
        <f>'Приложение 3'!C84</f>
        <v>0113</v>
      </c>
      <c r="C79" s="72" t="str">
        <f>'Приложение 3'!D84</f>
        <v>90</v>
      </c>
      <c r="D79" s="72" t="str">
        <f>'Приложение 3'!E84</f>
        <v>0</v>
      </c>
      <c r="E79" s="72">
        <f>'Приложение 3'!F84</f>
        <v>100</v>
      </c>
      <c r="F79" s="57">
        <f>'Приложение 3'!G84</f>
        <v>1015.5812</v>
      </c>
      <c r="G79" s="57">
        <f>'Приложение 3'!H84</f>
        <v>1015.5812</v>
      </c>
      <c r="H79" s="63">
        <f t="shared" si="1"/>
        <v>100</v>
      </c>
    </row>
    <row r="80" spans="1:8" ht="24" outlineLevel="2">
      <c r="A80" s="44" t="str">
        <f>'Приложение 3'!A85</f>
        <v>Закупка товаров, работ и услуг для государственных (муниципальных) нужд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200</v>
      </c>
      <c r="F80" s="57">
        <f>'Приложение 3'!G85</f>
        <v>148.31879999999998</v>
      </c>
      <c r="G80" s="57">
        <f>'Приложение 3'!H85</f>
        <v>148.31879999999998</v>
      </c>
      <c r="H80" s="63">
        <f t="shared" si="1"/>
        <v>100</v>
      </c>
    </row>
    <row r="81" spans="1:8" ht="26.25" customHeight="1" outlineLevel="2">
      <c r="A81" s="44" t="str">
        <f>'Приложение 3'!A86</f>
        <v>Оценка недвижимости, признание прав и регулирование отношений по муниципальной собственности</v>
      </c>
      <c r="B81" s="72" t="str">
        <f>'Приложение 3'!C86</f>
        <v>0113</v>
      </c>
      <c r="C81" s="72" t="str">
        <f>'Приложение 3'!D86</f>
        <v>99</v>
      </c>
      <c r="D81" s="72">
        <f>'Приложение 3'!E86</f>
        <v>0</v>
      </c>
      <c r="E81" s="72"/>
      <c r="F81" s="57">
        <f>'Приложение 3'!G86</f>
        <v>6.599999999999994</v>
      </c>
      <c r="G81" s="57">
        <f>'Приложение 3'!H86</f>
        <v>6.599999999999994</v>
      </c>
      <c r="H81" s="63">
        <f t="shared" si="1"/>
        <v>100</v>
      </c>
    </row>
    <row r="82" spans="1:8" ht="24.75" customHeight="1" outlineLevel="2">
      <c r="A82" s="44" t="str">
        <f>'Приложение 3'!A87</f>
        <v>Непрограммные расходы органов местного самоуправления Алексеевского муниципального района</v>
      </c>
      <c r="B82" s="72" t="str">
        <f>'Приложение 3'!C87</f>
        <v>0113</v>
      </c>
      <c r="C82" s="72" t="str">
        <f>'Приложение 3'!D87</f>
        <v>99</v>
      </c>
      <c r="D82" s="72" t="str">
        <f>'Приложение 3'!E87</f>
        <v>0</v>
      </c>
      <c r="E82" s="72"/>
      <c r="F82" s="57">
        <f>'Приложение 3'!G87</f>
        <v>6.599999999999994</v>
      </c>
      <c r="G82" s="57">
        <f>'Приложение 3'!H87</f>
        <v>6.599999999999994</v>
      </c>
      <c r="H82" s="63">
        <f t="shared" si="1"/>
        <v>100</v>
      </c>
    </row>
    <row r="83" spans="1:8" ht="24.75" customHeight="1" outlineLevel="2">
      <c r="A83" s="44" t="str">
        <f>'Приложение 3'!A88</f>
        <v>Закупка товаров, работ и услуг для государственных (муниципальных) нужд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>
        <f>'Приложение 3'!F88</f>
        <v>200</v>
      </c>
      <c r="F83" s="57">
        <f>'Приложение 3'!G88</f>
        <v>6.599999999999994</v>
      </c>
      <c r="G83" s="57">
        <f>'Приложение 3'!H88</f>
        <v>6.599999999999994</v>
      </c>
      <c r="H83" s="63">
        <f t="shared" si="1"/>
        <v>100</v>
      </c>
    </row>
    <row r="84" spans="1:8" ht="24" outlineLevel="5">
      <c r="A84" s="44" t="str">
        <f>'Приложение 3'!A89</f>
        <v>Реализация государственных функций, связанных с общегосударственным управлением</v>
      </c>
      <c r="B84" s="72" t="str">
        <f>'Приложение 3'!C89</f>
        <v>0113</v>
      </c>
      <c r="C84" s="72" t="str">
        <f>'Приложение 3'!D89</f>
        <v>99</v>
      </c>
      <c r="D84" s="72">
        <f>'Приложение 3'!E89</f>
        <v>0</v>
      </c>
      <c r="E84" s="72"/>
      <c r="F84" s="57">
        <f>'Приложение 3'!G89</f>
        <v>1205.9777800000002</v>
      </c>
      <c r="G84" s="57">
        <f>'Приложение 3'!H89</f>
        <v>1176.41568</v>
      </c>
      <c r="H84" s="63">
        <f t="shared" si="1"/>
        <v>97.54870276299783</v>
      </c>
    </row>
    <row r="85" spans="1:8" ht="25.5" customHeight="1" outlineLevel="5">
      <c r="A85" s="44" t="str">
        <f>'Приложение 3'!A90</f>
        <v>Непрограммные расходы органов местного самоуправления Алексеевского муниципального района</v>
      </c>
      <c r="B85" s="72" t="str">
        <f>'Приложение 3'!C90</f>
        <v>0113</v>
      </c>
      <c r="C85" s="72" t="str">
        <f>'Приложение 3'!D90</f>
        <v>99</v>
      </c>
      <c r="D85" s="72" t="str">
        <f>'Приложение 3'!E90</f>
        <v>0</v>
      </c>
      <c r="E85" s="72"/>
      <c r="F85" s="57">
        <f>'Приложение 3'!G90</f>
        <v>1205.9777800000002</v>
      </c>
      <c r="G85" s="57">
        <f>'Приложение 3'!H90</f>
        <v>1176.41568</v>
      </c>
      <c r="H85" s="63">
        <f t="shared" si="1"/>
        <v>97.54870276299783</v>
      </c>
    </row>
    <row r="86" spans="1:8" ht="25.5" customHeight="1" outlineLevel="5">
      <c r="A86" s="44" t="str">
        <f>'Приложение 3'!A91</f>
        <v>Закупка товаров, работ и услуг для государственных (муниципальных) нужд</v>
      </c>
      <c r="B86" s="72" t="str">
        <f>'Приложение 3'!C91</f>
        <v>0113</v>
      </c>
      <c r="C86" s="72" t="str">
        <f>'Приложение 3'!D91</f>
        <v>99</v>
      </c>
      <c r="D86" s="72">
        <f>'Приложение 3'!E91</f>
        <v>0</v>
      </c>
      <c r="E86" s="72"/>
      <c r="F86" s="57">
        <f>'Приложение 3'!G91</f>
        <v>316.24899000000016</v>
      </c>
      <c r="G86" s="57">
        <f>'Приложение 3'!H91</f>
        <v>316.24899</v>
      </c>
      <c r="H86" s="63">
        <f t="shared" si="1"/>
        <v>99.99999999999994</v>
      </c>
    </row>
    <row r="87" spans="1:8" ht="49.5" customHeight="1" outlineLevel="5">
      <c r="A87" s="44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2" t="str">
        <f>'Приложение 3'!C91</f>
        <v>0113</v>
      </c>
      <c r="C87" s="72" t="str">
        <f>'Приложение 3'!D91</f>
        <v>99</v>
      </c>
      <c r="D87" s="72">
        <f>'Приложение 3'!E91</f>
        <v>0</v>
      </c>
      <c r="E87" s="72">
        <f>'Приложение 3'!F91</f>
        <v>200</v>
      </c>
      <c r="F87" s="57">
        <f>'Приложение 3'!G92</f>
        <v>206.7721</v>
      </c>
      <c r="G87" s="57">
        <f>'Приложение 3'!H92</f>
        <v>177.21</v>
      </c>
      <c r="H87" s="63">
        <f t="shared" si="1"/>
        <v>85.70305181405035</v>
      </c>
    </row>
    <row r="88" spans="1:8" ht="12.75" outlineLevel="5">
      <c r="A88" s="44" t="str">
        <f>'Приложение 3'!A93</f>
        <v>Иные бюджетные ассигнования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>
        <f>'Приложение 3'!F93</f>
        <v>800</v>
      </c>
      <c r="F88" s="57">
        <f>'Приложение 3'!G93</f>
        <v>682.95669</v>
      </c>
      <c r="G88" s="57">
        <f>'Приложение 3'!H93</f>
        <v>682.95669</v>
      </c>
      <c r="H88" s="63">
        <f t="shared" si="1"/>
        <v>100</v>
      </c>
    </row>
    <row r="89" spans="1:8" ht="24" outlineLevel="5">
      <c r="A89" s="44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2" t="str">
        <f>'Приложение 3'!C94</f>
        <v>0113</v>
      </c>
      <c r="C89" s="72" t="str">
        <f>'Приложение 3'!D94</f>
        <v>99</v>
      </c>
      <c r="D89" s="72">
        <f>'Приложение 3'!E94</f>
        <v>0</v>
      </c>
      <c r="E89" s="72"/>
      <c r="F89" s="57">
        <f>'Приложение 3'!G94</f>
        <v>263.57710000000003</v>
      </c>
      <c r="G89" s="57">
        <f>'Приложение 3'!H94</f>
        <v>168.52081</v>
      </c>
      <c r="H89" s="63">
        <f t="shared" si="1"/>
        <v>63.9360589368348</v>
      </c>
    </row>
    <row r="90" spans="1:8" ht="24" outlineLevel="5">
      <c r="A90" s="44" t="str">
        <f>'Приложение 3'!A95</f>
        <v>Непрограммные расходы органов местного самоуправления Алексеевского муниципального района</v>
      </c>
      <c r="B90" s="72" t="str">
        <f>'Приложение 3'!C95</f>
        <v>0113</v>
      </c>
      <c r="C90" s="72" t="str">
        <f>'Приложение 3'!D95</f>
        <v>99</v>
      </c>
      <c r="D90" s="72" t="str">
        <f>'Приложение 3'!E95</f>
        <v>0</v>
      </c>
      <c r="E90" s="72"/>
      <c r="F90" s="57">
        <f>'Приложение 3'!G95</f>
        <v>263.57710000000003</v>
      </c>
      <c r="G90" s="57">
        <f>'Приложение 3'!H95</f>
        <v>168.52081</v>
      </c>
      <c r="H90" s="63">
        <f t="shared" si="1"/>
        <v>63.9360589368348</v>
      </c>
    </row>
    <row r="91" spans="1:8" ht="24" outlineLevel="5">
      <c r="A91" s="44" t="str">
        <f>'Приложение 3'!A96</f>
        <v>Закупка товаров, работ и услуг для государственных (муниципальных) нужд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>
        <f>'Приложение 3'!F96</f>
        <v>200</v>
      </c>
      <c r="F91" s="57">
        <f>'Приложение 3'!G96</f>
        <v>263.57710000000003</v>
      </c>
      <c r="G91" s="57">
        <f>'Приложение 3'!H96</f>
        <v>168.52081</v>
      </c>
      <c r="H91" s="63">
        <f t="shared" si="1"/>
        <v>63.9360589368348</v>
      </c>
    </row>
    <row r="92" spans="1:8" ht="12.75" outlineLevel="5">
      <c r="A92" s="44" t="str">
        <f>'Приложение 3'!A97</f>
        <v>Условно утвержденные расходы</v>
      </c>
      <c r="B92" s="72" t="str">
        <f>'Приложение 3'!C97</f>
        <v>0113</v>
      </c>
      <c r="C92" s="72" t="str">
        <f>'Приложение 3'!D97</f>
        <v>99</v>
      </c>
      <c r="D92" s="72">
        <f>'Приложение 3'!E97</f>
        <v>0</v>
      </c>
      <c r="E92" s="72" t="s">
        <v>144</v>
      </c>
      <c r="F92" s="57">
        <f>'Приложение 3'!G97</f>
        <v>0</v>
      </c>
      <c r="G92" s="57">
        <f>'Приложение 3'!H97</f>
        <v>0</v>
      </c>
      <c r="H92" s="63">
        <v>0</v>
      </c>
    </row>
    <row r="93" spans="1:8" ht="12.75" outlineLevel="5">
      <c r="A93" s="44" t="str">
        <f>'Приложение 3'!A98</f>
        <v>Национальная оборона </v>
      </c>
      <c r="B93" s="72" t="str">
        <f>'Приложение 3'!C98</f>
        <v>0200</v>
      </c>
      <c r="C93" s="72"/>
      <c r="D93" s="72"/>
      <c r="E93" s="72"/>
      <c r="F93" s="57">
        <f>'Приложение 3'!G98</f>
        <v>2.541</v>
      </c>
      <c r="G93" s="57">
        <f>'Приложение 3'!H98</f>
        <v>2.541</v>
      </c>
      <c r="H93" s="63">
        <f t="shared" si="1"/>
        <v>100</v>
      </c>
    </row>
    <row r="94" spans="1:8" ht="12.75" outlineLevel="5">
      <c r="A94" s="44" t="str">
        <f>'Приложение 3'!A99</f>
        <v>Мобилизационная подготовка экономики</v>
      </c>
      <c r="B94" s="72" t="str">
        <f>'Приложение 3'!C99</f>
        <v>0204</v>
      </c>
      <c r="C94" s="72"/>
      <c r="D94" s="72"/>
      <c r="E94" s="72"/>
      <c r="F94" s="57">
        <f>'Приложение 3'!G99</f>
        <v>2.541</v>
      </c>
      <c r="G94" s="57">
        <f>'Приложение 3'!H99</f>
        <v>2.541</v>
      </c>
      <c r="H94" s="63">
        <f t="shared" si="1"/>
        <v>100</v>
      </c>
    </row>
    <row r="95" spans="1:8" ht="24" outlineLevel="2">
      <c r="A95" s="44" t="str">
        <f>'Приложение 3'!A100</f>
        <v>Мероприятия по обеспечению мобилизационной готовности экономики</v>
      </c>
      <c r="B95" s="72" t="str">
        <f>'Приложение 3'!C100</f>
        <v>0204</v>
      </c>
      <c r="C95" s="72"/>
      <c r="D95" s="72"/>
      <c r="E95" s="72"/>
      <c r="F95" s="57">
        <f>'Приложение 3'!G100</f>
        <v>2.541</v>
      </c>
      <c r="G95" s="57">
        <f>'Приложение 3'!H100</f>
        <v>2.541</v>
      </c>
      <c r="H95" s="63">
        <f t="shared" si="1"/>
        <v>100</v>
      </c>
    </row>
    <row r="96" spans="1:8" ht="24.75" customHeight="1" outlineLevel="5">
      <c r="A96" s="44" t="str">
        <f>'Приложение 3'!A101</f>
        <v>Непрограммные расходы органов местного самоуправления Алексеевского муниципального района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/>
      <c r="F96" s="57">
        <f>'Приложение 3'!G101</f>
        <v>2.541</v>
      </c>
      <c r="G96" s="57">
        <f>'Приложение 3'!H101</f>
        <v>2.541</v>
      </c>
      <c r="H96" s="63">
        <f t="shared" si="1"/>
        <v>100</v>
      </c>
    </row>
    <row r="97" spans="1:8" ht="24.75" customHeight="1" outlineLevel="5">
      <c r="A97" s="44" t="str">
        <f>'Приложение 3'!A102</f>
        <v>Закупка товаров, работ и услуг для государственных (муниципальных) нужд</v>
      </c>
      <c r="B97" s="72" t="str">
        <f>'Приложение 3'!C102</f>
        <v>0204</v>
      </c>
      <c r="C97" s="72" t="str">
        <f>'Приложение 3'!D102</f>
        <v>99</v>
      </c>
      <c r="D97" s="72">
        <f>'Приложение 3'!E102</f>
        <v>0</v>
      </c>
      <c r="E97" s="72">
        <f>'Приложение 3'!F102</f>
        <v>200</v>
      </c>
      <c r="F97" s="57">
        <f>'Приложение 3'!G102</f>
        <v>2.541</v>
      </c>
      <c r="G97" s="57">
        <f>'Приложение 3'!H102</f>
        <v>2.541</v>
      </c>
      <c r="H97" s="63">
        <f t="shared" si="1"/>
        <v>100</v>
      </c>
    </row>
    <row r="98" spans="1:8" ht="24" outlineLevel="5">
      <c r="A98" s="44" t="str">
        <f>'Приложение 3'!A103</f>
        <v>Национальная безопасность и правоохранительная деятельность</v>
      </c>
      <c r="B98" s="72" t="str">
        <f>'Приложение 3'!C103</f>
        <v>0300</v>
      </c>
      <c r="C98" s="72"/>
      <c r="D98" s="72"/>
      <c r="E98" s="72"/>
      <c r="F98" s="57">
        <f>'Приложение 3'!G103</f>
        <v>0</v>
      </c>
      <c r="G98" s="57">
        <f>'Приложение 3'!H103</f>
        <v>0</v>
      </c>
      <c r="H98" s="63">
        <v>0</v>
      </c>
    </row>
    <row r="99" spans="1:8" ht="12.75" outlineLevel="5">
      <c r="A99" s="44" t="str">
        <f>'Приложение 3'!A104</f>
        <v>Гражданская оборона</v>
      </c>
      <c r="B99" s="72" t="str">
        <f>'Приложение 3'!C104</f>
        <v>0309</v>
      </c>
      <c r="C99" s="72"/>
      <c r="D99" s="72"/>
      <c r="E99" s="72"/>
      <c r="F99" s="57">
        <f>'Приложение 3'!G104</f>
        <v>0</v>
      </c>
      <c r="G99" s="57">
        <f>'Приложение 3'!H104</f>
        <v>0</v>
      </c>
      <c r="H99" s="63">
        <v>0</v>
      </c>
    </row>
    <row r="100" spans="1:8" ht="24" outlineLevel="5">
      <c r="A100" s="44" t="str">
        <f>'Приложение 3'!A105</f>
        <v>Непрограммные расходы органов местного самоуправления Алексеевского муниципального района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/>
      <c r="F100" s="57">
        <f>'Приложение 3'!G105</f>
        <v>0</v>
      </c>
      <c r="G100" s="57">
        <f>'Приложение 3'!H105</f>
        <v>0</v>
      </c>
      <c r="H100" s="63">
        <v>0</v>
      </c>
    </row>
    <row r="101" spans="1:8" ht="24" outlineLevel="5">
      <c r="A101" s="44" t="str">
        <f>'Приложение 3'!A106</f>
        <v>Закупка товаров, работ и услуг для государственных (муниципальных) нужд</v>
      </c>
      <c r="B101" s="72" t="str">
        <f>'Приложение 3'!C106</f>
        <v>0309</v>
      </c>
      <c r="C101" s="72" t="str">
        <f>'Приложение 3'!D106</f>
        <v>99</v>
      </c>
      <c r="D101" s="72">
        <f>'Приложение 3'!E106</f>
        <v>0</v>
      </c>
      <c r="E101" s="72">
        <f>'Приложение 3'!F106</f>
        <v>200</v>
      </c>
      <c r="F101" s="57">
        <f>'Приложение 3'!G106</f>
        <v>0</v>
      </c>
      <c r="G101" s="57">
        <f>'Приложение 3'!H106</f>
        <v>0</v>
      </c>
      <c r="H101" s="63">
        <v>0</v>
      </c>
    </row>
    <row r="102" spans="1:8" ht="31.5" customHeight="1" outlineLevel="2">
      <c r="A102" s="44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2" t="str">
        <f>'Приложение 3'!C107</f>
        <v>0310</v>
      </c>
      <c r="C102" s="72"/>
      <c r="D102" s="72"/>
      <c r="E102" s="72"/>
      <c r="F102" s="57">
        <f>'Приложение 3'!G107</f>
        <v>0</v>
      </c>
      <c r="G102" s="57">
        <f>'Приложение 3'!H107</f>
        <v>0</v>
      </c>
      <c r="H102" s="63">
        <v>0</v>
      </c>
    </row>
    <row r="103" spans="1:8" ht="28.5" customHeight="1" outlineLevel="5">
      <c r="A103" s="44" t="str">
        <f>'Приложение 3'!A108</f>
        <v>Непрограммные расходы органов местного самоуправления Алексеевского муниципального района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/>
      <c r="F103" s="57">
        <f>'Приложение 3'!G108</f>
        <v>0</v>
      </c>
      <c r="G103" s="57">
        <f>'Приложение 3'!H108</f>
        <v>0</v>
      </c>
      <c r="H103" s="63">
        <v>0</v>
      </c>
    </row>
    <row r="104" spans="1:8" ht="27" customHeight="1" outlineLevel="5">
      <c r="A104" s="44" t="str">
        <f>'Приложение 3'!A109</f>
        <v>Закупка товаров, работ и услуг для государственных (муниципальных) нужд</v>
      </c>
      <c r="B104" s="72" t="str">
        <f>'Приложение 3'!C109</f>
        <v>0310</v>
      </c>
      <c r="C104" s="72" t="str">
        <f>'Приложение 3'!D109</f>
        <v>99</v>
      </c>
      <c r="D104" s="72">
        <f>'Приложение 3'!E109</f>
        <v>0</v>
      </c>
      <c r="E104" s="72">
        <f>'Приложение 3'!F109</f>
        <v>200</v>
      </c>
      <c r="F104" s="57">
        <f>'Приложение 3'!G109</f>
        <v>0</v>
      </c>
      <c r="G104" s="57">
        <f>'Приложение 3'!H109</f>
        <v>0</v>
      </c>
      <c r="H104" s="63">
        <v>0</v>
      </c>
    </row>
    <row r="105" spans="1:8" ht="18" customHeight="1" hidden="1" outlineLevel="3">
      <c r="A105" s="44" t="e">
        <f>'Приложение 3'!#REF!</f>
        <v>#REF!</v>
      </c>
      <c r="B105" s="72" t="e">
        <f>'Приложение 3'!#REF!</f>
        <v>#REF!</v>
      </c>
      <c r="C105" s="72"/>
      <c r="D105" s="72"/>
      <c r="E105" s="72"/>
      <c r="F105" s="57" t="e">
        <f>'Приложение 3'!#REF!</f>
        <v>#REF!</v>
      </c>
      <c r="G105" s="57" t="e">
        <f>'Приложение 3'!#REF!</f>
        <v>#REF!</v>
      </c>
      <c r="H105" s="63" t="e">
        <f t="shared" si="1"/>
        <v>#REF!</v>
      </c>
    </row>
    <row r="106" spans="1:8" ht="27" customHeight="1" hidden="1" outlineLevel="3">
      <c r="A106" s="44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/>
      <c r="F106" s="57" t="e">
        <f>'Приложение 3'!#REF!</f>
        <v>#REF!</v>
      </c>
      <c r="G106" s="57" t="e">
        <f>'Приложение 3'!#REF!</f>
        <v>#REF!</v>
      </c>
      <c r="H106" s="63" t="e">
        <f t="shared" si="1"/>
        <v>#REF!</v>
      </c>
    </row>
    <row r="107" spans="1:8" ht="27" customHeight="1" hidden="1" outlineLevel="3">
      <c r="A107" s="44" t="e">
        <f>'Приложение 3'!#REF!</f>
        <v>#REF!</v>
      </c>
      <c r="B107" s="72" t="e">
        <f>'Приложение 3'!#REF!</f>
        <v>#REF!</v>
      </c>
      <c r="C107" s="72" t="e">
        <f>'Приложение 3'!#REF!</f>
        <v>#REF!</v>
      </c>
      <c r="D107" s="72" t="e">
        <f>'Приложение 3'!#REF!</f>
        <v>#REF!</v>
      </c>
      <c r="E107" s="72" t="e">
        <f>'Приложение 3'!#REF!</f>
        <v>#REF!</v>
      </c>
      <c r="F107" s="57" t="e">
        <f>'Приложение 3'!#REF!</f>
        <v>#REF!</v>
      </c>
      <c r="G107" s="57" t="e">
        <f>'Приложение 3'!#REF!</f>
        <v>#REF!</v>
      </c>
      <c r="H107" s="63" t="e">
        <f t="shared" si="1"/>
        <v>#REF!</v>
      </c>
    </row>
    <row r="108" spans="1:8" ht="11.25" customHeight="1" outlineLevel="3">
      <c r="A108" s="44" t="str">
        <f>'Приложение 3'!A110</f>
        <v>Национальная экономика</v>
      </c>
      <c r="B108" s="72" t="str">
        <f>'Приложение 3'!C110</f>
        <v>0400</v>
      </c>
      <c r="C108" s="72"/>
      <c r="D108" s="72"/>
      <c r="E108" s="72"/>
      <c r="F108" s="57">
        <f>'Приложение 3'!G110</f>
        <v>28690.38422</v>
      </c>
      <c r="G108" s="57">
        <f>'Приложение 3'!H110</f>
        <v>26409.0925</v>
      </c>
      <c r="H108" s="63">
        <f t="shared" si="1"/>
        <v>92.0485842834767</v>
      </c>
    </row>
    <row r="109" spans="1:8" ht="12.75" outlineLevel="3">
      <c r="A109" s="44" t="str">
        <f>'Приложение 3'!A111</f>
        <v>Сельское хозяйство и рыболовство</v>
      </c>
      <c r="B109" s="72" t="str">
        <f>'Приложение 3'!C111</f>
        <v>0405</v>
      </c>
      <c r="C109" s="72"/>
      <c r="D109" s="72"/>
      <c r="E109" s="72"/>
      <c r="F109" s="57">
        <f>'Приложение 3'!G111</f>
        <v>134.4</v>
      </c>
      <c r="G109" s="57">
        <f>'Приложение 3'!H111</f>
        <v>134.4</v>
      </c>
      <c r="H109" s="63">
        <f t="shared" si="1"/>
        <v>100</v>
      </c>
    </row>
    <row r="110" spans="1:8" ht="48" outlineLevel="3">
      <c r="A110" s="44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7">
        <f>'Приложение 3'!G112</f>
        <v>134.4</v>
      </c>
      <c r="G110" s="57">
        <f>'Приложение 3'!H112</f>
        <v>134.4</v>
      </c>
      <c r="H110" s="63">
        <f t="shared" si="1"/>
        <v>100</v>
      </c>
    </row>
    <row r="111" spans="1:8" ht="24" outlineLevel="3">
      <c r="A111" s="44" t="str">
        <f>'Приложение 3'!A113</f>
        <v>Непрограммные расходы органов местного самоуправления Алексеевского муниципального района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/>
      <c r="F111" s="57">
        <f>'Приложение 3'!G113</f>
        <v>134.4</v>
      </c>
      <c r="G111" s="57">
        <f>'Приложение 3'!H113</f>
        <v>134.4</v>
      </c>
      <c r="H111" s="63">
        <f t="shared" si="1"/>
        <v>100</v>
      </c>
    </row>
    <row r="112" spans="1:8" ht="24" outlineLevel="3">
      <c r="A112" s="44" t="str">
        <f>'Приложение 3'!A114</f>
        <v>Закупка товаров, работ и услуг для государственных (муниципальных) нужд</v>
      </c>
      <c r="B112" s="72" t="str">
        <f>'Приложение 3'!C114</f>
        <v>0405</v>
      </c>
      <c r="C112" s="72" t="str">
        <f>'Приложение 3'!D114</f>
        <v>99</v>
      </c>
      <c r="D112" s="72">
        <f>'Приложение 3'!E114</f>
        <v>0</v>
      </c>
      <c r="E112" s="72">
        <f>'Приложение 3'!F114</f>
        <v>200</v>
      </c>
      <c r="F112" s="57">
        <f>'Приложение 3'!G114</f>
        <v>134.4</v>
      </c>
      <c r="G112" s="57">
        <f>'Приложение 3'!H114</f>
        <v>134.4</v>
      </c>
      <c r="H112" s="63">
        <f t="shared" si="1"/>
        <v>100</v>
      </c>
    </row>
    <row r="113" spans="1:8" ht="12.75" outlineLevel="3">
      <c r="A113" s="44" t="str">
        <f>'Приложение 3'!A115</f>
        <v>Дорожное хозяйство (дорожные фонды)</v>
      </c>
      <c r="B113" s="72" t="str">
        <f>'Приложение 3'!C115</f>
        <v>0409</v>
      </c>
      <c r="C113" s="72"/>
      <c r="D113" s="72"/>
      <c r="E113" s="72"/>
      <c r="F113" s="57">
        <f>'Приложение 3'!G115</f>
        <v>27595.48422</v>
      </c>
      <c r="G113" s="57">
        <f>'Приложение 3'!H115</f>
        <v>25314.192499999997</v>
      </c>
      <c r="H113" s="63">
        <f t="shared" si="1"/>
        <v>91.73309769883791</v>
      </c>
    </row>
    <row r="114" spans="1:8" ht="48" outlineLevel="3">
      <c r="A114" s="44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/>
      <c r="F114" s="57">
        <f>'Приложение 3'!G116</f>
        <v>27595.48422</v>
      </c>
      <c r="G114" s="57">
        <f>'Приложение 3'!H116</f>
        <v>25314.192499999997</v>
      </c>
      <c r="H114" s="63">
        <f t="shared" si="1"/>
        <v>91.73309769883791</v>
      </c>
    </row>
    <row r="115" spans="1:8" ht="27" customHeight="1" outlineLevel="1">
      <c r="A115" s="44" t="str">
        <f>'Приложение 3'!A117</f>
        <v>Закупка товаров, работ и услуг для государственных (муниципальных) нужд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7">
        <f>'Приложение 3'!G117</f>
        <v>1839.0700799999995</v>
      </c>
      <c r="G115" s="57">
        <f>'Приложение 3'!H117</f>
        <v>53</v>
      </c>
      <c r="H115" s="63">
        <f t="shared" si="1"/>
        <v>2.8818912653943025</v>
      </c>
    </row>
    <row r="116" spans="1:8" ht="24" outlineLevel="1">
      <c r="A116" s="44" t="str">
        <f>'Приложение 3'!A118</f>
        <v>Субсидия на реализацию мероприятий в сфере дорожной деятельности 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7">
        <f>'Приложение 3'!G118</f>
        <v>13999.999999999998</v>
      </c>
      <c r="G116" s="57">
        <f>'Приложение 3'!H118</f>
        <v>13556.31885</v>
      </c>
      <c r="H116" s="63">
        <f t="shared" si="1"/>
        <v>96.83084892857143</v>
      </c>
    </row>
    <row r="117" spans="1:8" ht="37.5" customHeight="1" outlineLevel="1">
      <c r="A117" s="44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200</v>
      </c>
      <c r="F117" s="57">
        <f>'Приложение 3'!G119</f>
        <v>141.41413999999997</v>
      </c>
      <c r="G117" s="57">
        <f>'Приложение 3'!H119</f>
        <v>136.93252</v>
      </c>
      <c r="H117" s="63">
        <f t="shared" si="1"/>
        <v>96.83085439688</v>
      </c>
    </row>
    <row r="118" spans="1:8" ht="24" outlineLevel="1">
      <c r="A118" s="44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2" t="str">
        <f>'Приложение 3'!C120</f>
        <v>0409</v>
      </c>
      <c r="C118" s="72" t="str">
        <f>'Приложение 3'!D120</f>
        <v>18</v>
      </c>
      <c r="D118" s="72">
        <f>'Приложение 3'!E120</f>
        <v>0</v>
      </c>
      <c r="E118" s="72">
        <f>'Приложение 3'!F120</f>
        <v>500</v>
      </c>
      <c r="F118" s="57">
        <f>'Приложение 3'!G120</f>
        <v>11615</v>
      </c>
      <c r="G118" s="57">
        <f>'Приложение 3'!H120</f>
        <v>11567.94113</v>
      </c>
      <c r="H118" s="63">
        <f t="shared" si="1"/>
        <v>99.59484399483426</v>
      </c>
    </row>
    <row r="119" spans="1:8" ht="24" hidden="1" outlineLevel="1">
      <c r="A119" s="44" t="str">
        <f>'Приложение 3'!A121</f>
        <v>Муниципальная программа "Комплексное развитие сельских территорий"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/>
      <c r="F119" s="57">
        <f>'Приложение 3'!G121</f>
        <v>0</v>
      </c>
      <c r="G119" s="57">
        <f>'Приложение 3'!H121</f>
        <v>0</v>
      </c>
      <c r="H119" s="63" t="e">
        <f t="shared" si="1"/>
        <v>#DIV/0!</v>
      </c>
    </row>
    <row r="120" spans="1:8" ht="24" hidden="1" outlineLevel="1">
      <c r="A120" s="44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2" t="str">
        <f>'Приложение 3'!C122</f>
        <v>0409</v>
      </c>
      <c r="C120" s="72" t="str">
        <f>'Приложение 3'!D122</f>
        <v>03</v>
      </c>
      <c r="D120" s="72">
        <f>'Приложение 3'!E122</f>
        <v>0</v>
      </c>
      <c r="E120" s="72">
        <f>'Приложение 3'!F122</f>
        <v>600</v>
      </c>
      <c r="F120" s="57">
        <f>'Приложение 3'!G122</f>
        <v>0</v>
      </c>
      <c r="G120" s="57">
        <f>'Приложение 3'!H122</f>
        <v>0</v>
      </c>
      <c r="H120" s="63" t="e">
        <f t="shared" si="1"/>
        <v>#DIV/0!</v>
      </c>
    </row>
    <row r="121" spans="1:8" ht="12.75" outlineLevel="2">
      <c r="A121" s="44" t="str">
        <f>'Приложение 3'!A123</f>
        <v>Другие вопросы в области национальной экономики</v>
      </c>
      <c r="B121" s="72" t="str">
        <f>'Приложение 3'!C123</f>
        <v>0412</v>
      </c>
      <c r="C121" s="72"/>
      <c r="D121" s="72"/>
      <c r="E121" s="72"/>
      <c r="F121" s="57">
        <f>'Приложение 3'!G123</f>
        <v>960.5</v>
      </c>
      <c r="G121" s="57">
        <f>'Приложение 3'!H123</f>
        <v>960.5</v>
      </c>
      <c r="H121" s="63">
        <f t="shared" si="1"/>
        <v>100</v>
      </c>
    </row>
    <row r="122" spans="1:8" ht="35.25" customHeight="1" outlineLevel="2">
      <c r="A122" s="44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/>
      <c r="F122" s="57">
        <f>'Приложение 3'!G124</f>
        <v>100</v>
      </c>
      <c r="G122" s="57">
        <f>'Приложение 3'!H124</f>
        <v>100</v>
      </c>
      <c r="H122" s="63">
        <f t="shared" si="1"/>
        <v>100</v>
      </c>
    </row>
    <row r="123" spans="1:8" ht="108" customHeight="1" hidden="1" outlineLevel="2">
      <c r="A123" s="44" t="str">
        <f>'Приложение 3'!A125</f>
        <v>Закупка товаров, работ и услуг для государственных (муниципальных) нужд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200</v>
      </c>
      <c r="F123" s="57">
        <f>'Приложение 3'!G125</f>
        <v>0</v>
      </c>
      <c r="G123" s="57">
        <f>'Приложение 3'!H125</f>
        <v>0</v>
      </c>
      <c r="H123" s="63" t="e">
        <f t="shared" si="1"/>
        <v>#DIV/0!</v>
      </c>
    </row>
    <row r="124" spans="1:8" ht="165" customHeight="1" hidden="1" outlineLevel="2">
      <c r="A124" s="44" t="str">
        <f>'Приложение 3'!A126</f>
        <v>Социальное обеспечение и иные выплаты населению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300</v>
      </c>
      <c r="F124" s="57">
        <f>'Приложение 3'!G126</f>
        <v>0</v>
      </c>
      <c r="G124" s="57">
        <f>'Приложение 3'!H126</f>
        <v>0</v>
      </c>
      <c r="H124" s="63" t="e">
        <f t="shared" si="1"/>
        <v>#DIV/0!</v>
      </c>
    </row>
    <row r="125" spans="1:8" ht="12.75" outlineLevel="2">
      <c r="A125" s="44" t="str">
        <f>'Приложение 3'!A127</f>
        <v>Иные бюджетные ассигнования</v>
      </c>
      <c r="B125" s="72" t="str">
        <f>'Приложение 3'!C127</f>
        <v>0412</v>
      </c>
      <c r="C125" s="72" t="str">
        <f>'Приложение 3'!D127</f>
        <v>04</v>
      </c>
      <c r="D125" s="72">
        <f>'Приложение 3'!E127</f>
        <v>0</v>
      </c>
      <c r="E125" s="72">
        <f>'Приложение 3'!F127</f>
        <v>800</v>
      </c>
      <c r="F125" s="57">
        <f>'Приложение 3'!G127</f>
        <v>100</v>
      </c>
      <c r="G125" s="57">
        <f>'Приложение 3'!H127</f>
        <v>100</v>
      </c>
      <c r="H125" s="63">
        <f t="shared" si="1"/>
        <v>100</v>
      </c>
    </row>
    <row r="126" spans="1:8" ht="39" customHeight="1" outlineLevel="2">
      <c r="A126" s="44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/>
      <c r="F126" s="57">
        <f>'Приложение 3'!G128</f>
        <v>860.5</v>
      </c>
      <c r="G126" s="57">
        <f>'Приложение 3'!H128</f>
        <v>860.5</v>
      </c>
      <c r="H126" s="63">
        <f t="shared" si="1"/>
        <v>100</v>
      </c>
    </row>
    <row r="127" spans="1:8" ht="24" customHeight="1" outlineLevel="2">
      <c r="A127" s="44" t="str">
        <f>'Приложение 3'!A129</f>
        <v>Закупка товаров, работ и услуг для государственных (муниципальных) нужд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200</v>
      </c>
      <c r="F127" s="57">
        <f>'Приложение 3'!G129</f>
        <v>490.50000000000006</v>
      </c>
      <c r="G127" s="57">
        <f>'Приложение 3'!H129</f>
        <v>490.50000000000006</v>
      </c>
      <c r="H127" s="63">
        <f t="shared" si="1"/>
        <v>100</v>
      </c>
    </row>
    <row r="128" spans="1:8" ht="12.75" outlineLevel="2" collapsed="1">
      <c r="A128" s="44" t="str">
        <f>'Приложение 3'!A130</f>
        <v>Межбюджетные трансферты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>
        <f>'Приложение 3'!F130</f>
        <v>500</v>
      </c>
      <c r="F128" s="57">
        <f>'Приложение 3'!G130</f>
        <v>370</v>
      </c>
      <c r="G128" s="57">
        <f>'Приложение 3'!H130</f>
        <v>370</v>
      </c>
      <c r="H128" s="63">
        <f t="shared" si="1"/>
        <v>100</v>
      </c>
    </row>
    <row r="129" spans="1:8" ht="199.5" customHeight="1" hidden="1" outlineLevel="3">
      <c r="A129" s="44" t="str">
        <f>'Приложение 3'!A131</f>
        <v>Непрограммные расходы органов местного самоуправления Алексеевского муниципального района</v>
      </c>
      <c r="B129" s="72" t="str">
        <f>'Приложение 3'!C131</f>
        <v>0412</v>
      </c>
      <c r="C129" s="72" t="str">
        <f>'Приложение 3'!D131</f>
        <v>99</v>
      </c>
      <c r="D129" s="72">
        <f>'Приложение 3'!E131</f>
        <v>0</v>
      </c>
      <c r="E129" s="72"/>
      <c r="F129" s="57">
        <f>'Приложение 3'!G131</f>
        <v>0</v>
      </c>
      <c r="G129" s="57">
        <f>'Приложение 3'!H131</f>
        <v>0</v>
      </c>
      <c r="H129" s="63" t="e">
        <f t="shared" si="1"/>
        <v>#DIV/0!</v>
      </c>
    </row>
    <row r="130" spans="1:8" ht="285" customHeight="1" hidden="1" outlineLevel="3">
      <c r="A130" s="44" t="str">
        <f>'Приложение 3'!A132</f>
        <v>Премии и гранты</v>
      </c>
      <c r="B130" s="72" t="str">
        <f>'Приложение 3'!C132</f>
        <v>0412</v>
      </c>
      <c r="C130" s="72" t="str">
        <f>'Приложение 3'!D132</f>
        <v>99</v>
      </c>
      <c r="D130" s="72">
        <f>'Приложение 3'!E132</f>
        <v>0</v>
      </c>
      <c r="E130" s="72">
        <f>'Приложение 3'!F132</f>
        <v>300</v>
      </c>
      <c r="F130" s="57">
        <f>'Приложение 3'!G132</f>
        <v>0</v>
      </c>
      <c r="G130" s="57">
        <f>'Приложение 3'!H132</f>
        <v>0</v>
      </c>
      <c r="H130" s="63" t="e">
        <f t="shared" si="1"/>
        <v>#DIV/0!</v>
      </c>
    </row>
    <row r="131" spans="1:8" ht="12.75" outlineLevel="2">
      <c r="A131" s="44" t="str">
        <f>'Приложение 3'!A133</f>
        <v>Жилищно-коммунальное хозяйство</v>
      </c>
      <c r="B131" s="72" t="str">
        <f>'Приложение 3'!C133</f>
        <v>0500</v>
      </c>
      <c r="C131" s="72"/>
      <c r="D131" s="72"/>
      <c r="E131" s="72"/>
      <c r="F131" s="57">
        <f>'Приложение 3'!G133</f>
        <v>122931.68043</v>
      </c>
      <c r="G131" s="57">
        <f>'Приложение 3'!H133</f>
        <v>122931.68043</v>
      </c>
      <c r="H131" s="63">
        <f t="shared" si="1"/>
        <v>100</v>
      </c>
    </row>
    <row r="132" spans="1:8" ht="12.75" outlineLevel="3">
      <c r="A132" s="44" t="str">
        <f>'Приложение 3'!A134</f>
        <v>Коммунальное хозяйство</v>
      </c>
      <c r="B132" s="72" t="str">
        <f>'Приложение 3'!C134</f>
        <v>0502</v>
      </c>
      <c r="C132" s="72"/>
      <c r="D132" s="72"/>
      <c r="E132" s="72"/>
      <c r="F132" s="57">
        <f>'Приложение 3'!G134</f>
        <v>118377.86343</v>
      </c>
      <c r="G132" s="57">
        <f>'Приложение 3'!H134</f>
        <v>118377.86343</v>
      </c>
      <c r="H132" s="63">
        <f t="shared" si="1"/>
        <v>100</v>
      </c>
    </row>
    <row r="133" spans="1:8" ht="37.5" customHeight="1" outlineLevel="3">
      <c r="A133" s="44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2" t="str">
        <f>'Приложение 3'!C135</f>
        <v>0502</v>
      </c>
      <c r="C133" s="72" t="str">
        <f>'Приложение 3'!D135</f>
        <v>02</v>
      </c>
      <c r="D133" s="72">
        <f>'Приложение 3'!E135</f>
        <v>0</v>
      </c>
      <c r="E133" s="72"/>
      <c r="F133" s="57">
        <f>'Приложение 3'!G135</f>
        <v>6608.4695</v>
      </c>
      <c r="G133" s="57">
        <f>'Приложение 3'!H135</f>
        <v>6608.4695</v>
      </c>
      <c r="H133" s="63">
        <f t="shared" si="1"/>
        <v>100</v>
      </c>
    </row>
    <row r="134" spans="1:8" ht="36.75" customHeight="1" outlineLevel="3">
      <c r="A134" s="44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1</v>
      </c>
      <c r="E134" s="72"/>
      <c r="F134" s="57">
        <f>'Приложение 3'!G136</f>
        <v>6548</v>
      </c>
      <c r="G134" s="57">
        <f>'Приложение 3'!H136</f>
        <v>6548</v>
      </c>
      <c r="H134" s="63">
        <f t="shared" si="1"/>
        <v>100</v>
      </c>
    </row>
    <row r="135" spans="1:8" ht="36" outlineLevel="3">
      <c r="A135" s="44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>
        <f>'Приложение 3'!F137</f>
        <v>500</v>
      </c>
      <c r="F135" s="57">
        <f>'Приложение 3'!G137</f>
        <v>2333.33334</v>
      </c>
      <c r="G135" s="57">
        <f>'Приложение 3'!H137</f>
        <v>2333.33334</v>
      </c>
      <c r="H135" s="63">
        <f t="shared" si="1"/>
        <v>100</v>
      </c>
    </row>
    <row r="136" spans="1:8" ht="12.75" outlineLevel="3">
      <c r="A136" s="44" t="str">
        <f>'Приложение 3'!A138</f>
        <v>Межбюджетные трансферты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500</v>
      </c>
      <c r="F136" s="57">
        <f>'Приложение 3'!G138</f>
        <v>4214.66666</v>
      </c>
      <c r="G136" s="57">
        <f>'Приложение 3'!H138</f>
        <v>4214.66666</v>
      </c>
      <c r="H136" s="63">
        <f t="shared" si="1"/>
        <v>100</v>
      </c>
    </row>
    <row r="137" spans="1:8" ht="36" hidden="1" outlineLevel="3">
      <c r="A137" s="44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3</v>
      </c>
      <c r="E137" s="72"/>
      <c r="F137" s="57">
        <f>'Приложение 3'!G139</f>
        <v>0</v>
      </c>
      <c r="G137" s="57">
        <f>'Приложение 3'!H139</f>
        <v>0</v>
      </c>
      <c r="H137" s="63" t="e">
        <f t="shared" si="1"/>
        <v>#DIV/0!</v>
      </c>
    </row>
    <row r="138" spans="1:8" ht="24.75" customHeight="1" hidden="1" outlineLevel="3">
      <c r="A138" s="44" t="str">
        <f>'Приложение 3'!A140</f>
        <v>Капитальные вложения в объекты государственной (муниципальной) собственности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3</v>
      </c>
      <c r="E138" s="72">
        <f>'Приложение 3'!F140</f>
        <v>400</v>
      </c>
      <c r="F138" s="57">
        <f>'Приложение 3'!G140</f>
        <v>0</v>
      </c>
      <c r="G138" s="57">
        <f>'Приложение 3'!H140</f>
        <v>0</v>
      </c>
      <c r="H138" s="63" t="e">
        <f aca="true" t="shared" si="2" ref="H138:H201">SUM(G138/F138)*100</f>
        <v>#DIV/0!</v>
      </c>
    </row>
    <row r="139" spans="1:8" ht="36" outlineLevel="3">
      <c r="A139" s="44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4</v>
      </c>
      <c r="E139" s="72"/>
      <c r="F139" s="57">
        <f>'Приложение 3'!G141</f>
        <v>60.4695</v>
      </c>
      <c r="G139" s="57">
        <f>'Приложение 3'!H141</f>
        <v>60.4695</v>
      </c>
      <c r="H139" s="63">
        <f t="shared" si="2"/>
        <v>100</v>
      </c>
    </row>
    <row r="140" spans="1:8" ht="24" outlineLevel="3">
      <c r="A140" s="44" t="str">
        <f>'Приложение 3'!A142</f>
        <v>Закупка товаров, работ и услуг для государственных (муниципальных) нужд</v>
      </c>
      <c r="B140" s="72" t="str">
        <f>'Приложение 3'!C142</f>
        <v>0502</v>
      </c>
      <c r="C140" s="72" t="str">
        <f>'Приложение 3'!D142</f>
        <v>02</v>
      </c>
      <c r="D140" s="72">
        <f>'Приложение 3'!E142</f>
        <v>4</v>
      </c>
      <c r="E140" s="72">
        <f>'Приложение 3'!F142</f>
        <v>200</v>
      </c>
      <c r="F140" s="57">
        <f>'Приложение 3'!G142</f>
        <v>60.4695</v>
      </c>
      <c r="G140" s="57">
        <f>'Приложение 3'!H142</f>
        <v>60.4695</v>
      </c>
      <c r="H140" s="63">
        <f t="shared" si="2"/>
        <v>100</v>
      </c>
    </row>
    <row r="141" spans="1:8" ht="24" outlineLevel="3">
      <c r="A141" s="44" t="str">
        <f>'Приложение 3'!A143</f>
        <v>Муниципальная программа "Комплексное развитие сельских территорий"</v>
      </c>
      <c r="B141" s="72" t="str">
        <f>'Приложение 3'!C143</f>
        <v>0502</v>
      </c>
      <c r="C141" s="72" t="str">
        <f>'Приложение 3'!D143</f>
        <v>03</v>
      </c>
      <c r="D141" s="72">
        <f>'Приложение 3'!E143</f>
        <v>0</v>
      </c>
      <c r="E141" s="72">
        <f>'Приложение 3'!F143</f>
        <v>0</v>
      </c>
      <c r="F141" s="57">
        <f>'Приложение 3'!G143</f>
        <v>111709.88799999999</v>
      </c>
      <c r="G141" s="57">
        <f>'Приложение 3'!H143</f>
        <v>111709.88799999999</v>
      </c>
      <c r="H141" s="63">
        <f t="shared" si="2"/>
        <v>100</v>
      </c>
    </row>
    <row r="142" spans="1:8" ht="16.5" customHeight="1" outlineLevel="3">
      <c r="A142" s="44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2" t="str">
        <f>'Приложение 3'!C144</f>
        <v>0502</v>
      </c>
      <c r="C142" s="72" t="str">
        <f>'Приложение 3'!D144</f>
        <v>03</v>
      </c>
      <c r="D142" s="72">
        <f>'Приложение 3'!E144</f>
        <v>0</v>
      </c>
      <c r="E142" s="72">
        <f>'Приложение 3'!F144</f>
        <v>400</v>
      </c>
      <c r="F142" s="57">
        <f>'Приложение 3'!G144</f>
        <v>107932.28272999999</v>
      </c>
      <c r="G142" s="57">
        <f>'Приложение 3'!H144</f>
        <v>107932.28272999999</v>
      </c>
      <c r="H142" s="63">
        <f t="shared" si="2"/>
        <v>100</v>
      </c>
    </row>
    <row r="143" spans="1:8" ht="24" outlineLevel="3">
      <c r="A143" s="44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2" t="str">
        <f>'Приложение 3'!C145</f>
        <v>0502</v>
      </c>
      <c r="C143" s="72" t="str">
        <f>'Приложение 3'!D145</f>
        <v>03</v>
      </c>
      <c r="D143" s="72">
        <f>'Приложение 3'!E145</f>
        <v>0</v>
      </c>
      <c r="E143" s="72">
        <f>'Приложение 3'!F145</f>
        <v>400</v>
      </c>
      <c r="F143" s="57">
        <f>'Приложение 3'!G145</f>
        <v>3777.6052700000005</v>
      </c>
      <c r="G143" s="57">
        <f>'Приложение 3'!H145</f>
        <v>3777.6052700000005</v>
      </c>
      <c r="H143" s="63">
        <f t="shared" si="2"/>
        <v>100</v>
      </c>
    </row>
    <row r="144" spans="1:8" ht="50.25" customHeight="1" outlineLevel="1">
      <c r="A144" s="44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2" t="str">
        <f>'Приложение 3'!C146</f>
        <v>0502</v>
      </c>
      <c r="C144" s="72"/>
      <c r="D144" s="72"/>
      <c r="E144" s="72"/>
      <c r="F144" s="57">
        <f>'Приложение 3'!G146</f>
        <v>59.50593000000001</v>
      </c>
      <c r="G144" s="57">
        <f>'Приложение 3'!H146</f>
        <v>59.50593000000001</v>
      </c>
      <c r="H144" s="63">
        <f t="shared" si="2"/>
        <v>100</v>
      </c>
    </row>
    <row r="145" spans="1:8" ht="24" outlineLevel="1">
      <c r="A145" s="44" t="str">
        <f>'Приложение 3'!A147</f>
        <v>Непрограммные расходы органов местного самоуправления Алексеевского муниципального района</v>
      </c>
      <c r="B145" s="72" t="str">
        <f>'Приложение 3'!C147</f>
        <v>0502</v>
      </c>
      <c r="C145" s="72" t="str">
        <f>'Приложение 3'!D147</f>
        <v>99</v>
      </c>
      <c r="D145" s="72">
        <f>'Приложение 3'!E147</f>
        <v>0</v>
      </c>
      <c r="E145" s="72"/>
      <c r="F145" s="57">
        <f>'Приложение 3'!G147</f>
        <v>59.50593000000001</v>
      </c>
      <c r="G145" s="57">
        <f>'Приложение 3'!H147</f>
        <v>59.50593000000001</v>
      </c>
      <c r="H145" s="63">
        <f t="shared" si="2"/>
        <v>100</v>
      </c>
    </row>
    <row r="146" spans="1:8" ht="12.75" outlineLevel="1">
      <c r="A146" s="44" t="str">
        <f>'Приложение 3'!A148</f>
        <v>Иные бюджетные ассигнования</v>
      </c>
      <c r="B146" s="72" t="str">
        <f>'Приложение 3'!C148</f>
        <v>0502</v>
      </c>
      <c r="C146" s="72" t="str">
        <f>'Приложение 3'!D148</f>
        <v>99</v>
      </c>
      <c r="D146" s="72">
        <f>'Приложение 3'!E148</f>
        <v>0</v>
      </c>
      <c r="E146" s="72">
        <f>'Приложение 3'!F148</f>
        <v>800</v>
      </c>
      <c r="F146" s="57">
        <f>'Приложение 3'!G148</f>
        <v>59.50593000000001</v>
      </c>
      <c r="G146" s="57">
        <f>'Приложение 3'!H148</f>
        <v>59.50593000000001</v>
      </c>
      <c r="H146" s="63">
        <f t="shared" si="2"/>
        <v>100</v>
      </c>
    </row>
    <row r="147" spans="1:8" ht="12.75" outlineLevel="1">
      <c r="A147" s="44" t="str">
        <f>'Приложение 3'!A149</f>
        <v>Благоустройство</v>
      </c>
      <c r="B147" s="72" t="str">
        <f>'Приложение 3'!C149</f>
        <v>0503</v>
      </c>
      <c r="C147" s="72"/>
      <c r="D147" s="72"/>
      <c r="E147" s="72"/>
      <c r="F147" s="57">
        <f>'Приложение 3'!G149</f>
        <v>4553.817</v>
      </c>
      <c r="G147" s="57">
        <f>'Приложение 3'!H149</f>
        <v>4553.817</v>
      </c>
      <c r="H147" s="63">
        <f t="shared" si="2"/>
        <v>100</v>
      </c>
    </row>
    <row r="148" spans="1:8" ht="24" outlineLevel="1">
      <c r="A148" s="44" t="str">
        <f>'Приложение 3'!A150</f>
        <v>Муниципальная программа "Комплексное развитие сельских территорий"</v>
      </c>
      <c r="B148" s="72" t="str">
        <f>'Приложение 3'!C150</f>
        <v>0503</v>
      </c>
      <c r="C148" s="72" t="str">
        <f>'Приложение 3'!D150</f>
        <v>03</v>
      </c>
      <c r="D148" s="72">
        <f>'Приложение 3'!E150</f>
        <v>0</v>
      </c>
      <c r="E148" s="72"/>
      <c r="F148" s="57">
        <f>'Приложение 3'!G150</f>
        <v>4553.817</v>
      </c>
      <c r="G148" s="57">
        <f>'Приложение 3'!H150</f>
        <v>4553.817</v>
      </c>
      <c r="H148" s="63">
        <f t="shared" si="2"/>
        <v>100</v>
      </c>
    </row>
    <row r="149" spans="1:8" ht="24" outlineLevel="1">
      <c r="A149" s="44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2" t="str">
        <f>'Приложение 3'!C151</f>
        <v>0503</v>
      </c>
      <c r="C149" s="72" t="str">
        <f>'Приложение 3'!D151</f>
        <v>03</v>
      </c>
      <c r="D149" s="72">
        <f>'Приложение 3'!E151</f>
        <v>0</v>
      </c>
      <c r="E149" s="72">
        <f>'Приложение 3'!F151</f>
        <v>600</v>
      </c>
      <c r="F149" s="57">
        <f>'Приложение 3'!G151</f>
        <v>4553.817</v>
      </c>
      <c r="G149" s="57">
        <f>'Приложение 3'!H151</f>
        <v>4553.817</v>
      </c>
      <c r="H149" s="63">
        <f t="shared" si="2"/>
        <v>100</v>
      </c>
    </row>
    <row r="150" spans="1:8" ht="12.75" outlineLevel="2">
      <c r="A150" s="44" t="str">
        <f>'Приложение 3'!A152</f>
        <v>Охрана окружающей среды</v>
      </c>
      <c r="B150" s="72" t="str">
        <f>'Приложение 3'!C152</f>
        <v>0600</v>
      </c>
      <c r="C150" s="72">
        <f>'Приложение 3'!D152</f>
        <v>0</v>
      </c>
      <c r="D150" s="72">
        <f>'Приложение 3'!E152</f>
        <v>0</v>
      </c>
      <c r="E150" s="72"/>
      <c r="F150" s="57">
        <f>'Приложение 3'!G152</f>
        <v>0</v>
      </c>
      <c r="G150" s="57">
        <f>'Приложение 3'!H152</f>
        <v>0</v>
      </c>
      <c r="H150" s="63">
        <v>0</v>
      </c>
    </row>
    <row r="151" spans="1:8" ht="24" outlineLevel="5">
      <c r="A151" s="44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2" t="str">
        <f>'Приложение 3'!C153</f>
        <v>0605</v>
      </c>
      <c r="C151" s="72" t="str">
        <f>'Приложение 3'!D153</f>
        <v>05</v>
      </c>
      <c r="D151" s="72">
        <f>'Приложение 3'!E153</f>
        <v>0</v>
      </c>
      <c r="E151" s="72"/>
      <c r="F151" s="57">
        <f>'Приложение 3'!G153</f>
        <v>0</v>
      </c>
      <c r="G151" s="57">
        <f>'Приложение 3'!H153</f>
        <v>0</v>
      </c>
      <c r="H151" s="63">
        <v>0</v>
      </c>
    </row>
    <row r="152" spans="1:8" ht="24" outlineLevel="5">
      <c r="A152" s="44" t="str">
        <f>'Приложение 3'!A154</f>
        <v>Закупка товаров, работ и услуг для государственных (муниципальных) нужд</v>
      </c>
      <c r="B152" s="72" t="str">
        <f>'Приложение 3'!C154</f>
        <v>0605</v>
      </c>
      <c r="C152" s="72" t="str">
        <f>'Приложение 3'!D154</f>
        <v>05</v>
      </c>
      <c r="D152" s="72">
        <f>'Приложение 3'!E154</f>
        <v>0</v>
      </c>
      <c r="E152" s="72">
        <f>'Приложение 3'!F154</f>
        <v>200</v>
      </c>
      <c r="F152" s="57">
        <f>'Приложение 3'!G154</f>
        <v>0</v>
      </c>
      <c r="G152" s="57">
        <f>'Приложение 3'!H154</f>
        <v>0</v>
      </c>
      <c r="H152" s="63">
        <v>0</v>
      </c>
    </row>
    <row r="153" spans="1:8" ht="24" hidden="1" outlineLevel="5">
      <c r="A153" s="44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>
        <f>'Приложение 3'!F155</f>
        <v>600</v>
      </c>
      <c r="F153" s="57">
        <f>'Приложение 3'!G155</f>
        <v>0</v>
      </c>
      <c r="G153" s="57">
        <f>'Приложение 3'!H155</f>
        <v>0</v>
      </c>
      <c r="H153" s="63" t="e">
        <f t="shared" si="2"/>
        <v>#DIV/0!</v>
      </c>
    </row>
    <row r="154" spans="1:8" ht="12.75" outlineLevel="5">
      <c r="A154" s="44" t="str">
        <f>'Приложение 3'!A156</f>
        <v>Образование</v>
      </c>
      <c r="B154" s="72" t="str">
        <f>'Приложение 3'!C156</f>
        <v>0700</v>
      </c>
      <c r="C154" s="72"/>
      <c r="D154" s="72"/>
      <c r="E154" s="72"/>
      <c r="F154" s="57">
        <f>'Приложение 3'!G156</f>
        <v>253044.01555999997</v>
      </c>
      <c r="G154" s="57">
        <f>'Приложение 3'!H156</f>
        <v>252377.73015999998</v>
      </c>
      <c r="H154" s="63">
        <f t="shared" si="2"/>
        <v>99.73669189586425</v>
      </c>
    </row>
    <row r="155" spans="1:8" ht="12.75" outlineLevel="2">
      <c r="A155" s="44" t="str">
        <f>'Приложение 3'!A157</f>
        <v>Дошкольное образование</v>
      </c>
      <c r="B155" s="72" t="str">
        <f>'Приложение 3'!C157</f>
        <v>0701</v>
      </c>
      <c r="C155" s="72"/>
      <c r="D155" s="72"/>
      <c r="E155" s="72"/>
      <c r="F155" s="57">
        <f>'Приложение 3'!G157</f>
        <v>38725.52332</v>
      </c>
      <c r="G155" s="57">
        <f>'Приложение 3'!H157</f>
        <v>38617.92332</v>
      </c>
      <c r="H155" s="63">
        <f t="shared" si="2"/>
        <v>99.72214707310508</v>
      </c>
    </row>
    <row r="156" spans="1:8" ht="35.25" customHeight="1" outlineLevel="2">
      <c r="A156" s="44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2" t="str">
        <f>'Приложение 3'!C158</f>
        <v>0701</v>
      </c>
      <c r="C156" s="72" t="str">
        <f>'Приложение 3'!D158</f>
        <v>02</v>
      </c>
      <c r="D156" s="72">
        <f>'Приложение 3'!E158</f>
        <v>0</v>
      </c>
      <c r="E156" s="72"/>
      <c r="F156" s="57">
        <f>'Приложение 3'!G158</f>
        <v>3727.22161</v>
      </c>
      <c r="G156" s="57">
        <f>'Приложение 3'!H158</f>
        <v>3727.22161</v>
      </c>
      <c r="H156" s="63">
        <f t="shared" si="2"/>
        <v>100</v>
      </c>
    </row>
    <row r="157" spans="1:8" ht="36" outlineLevel="2">
      <c r="A157" s="44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2" t="str">
        <f>'Приложение 3'!C159</f>
        <v>0701</v>
      </c>
      <c r="C157" s="72" t="str">
        <f>'Приложение 3'!D159</f>
        <v>02</v>
      </c>
      <c r="D157" s="72">
        <f>'Приложение 3'!E159</f>
        <v>3</v>
      </c>
      <c r="E157" s="72"/>
      <c r="F157" s="57">
        <f>'Приложение 3'!G159</f>
        <v>3481.44661</v>
      </c>
      <c r="G157" s="57">
        <f>'Приложение 3'!H159</f>
        <v>3481.44661</v>
      </c>
      <c r="H157" s="63">
        <f t="shared" si="2"/>
        <v>100</v>
      </c>
    </row>
    <row r="158" spans="1:8" ht="21" customHeight="1" outlineLevel="2">
      <c r="A158" s="44" t="str">
        <f>'Приложение 3'!A160</f>
        <v>Капитальные вложения в объекты государственной (муниципальной) собственности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3</v>
      </c>
      <c r="E158" s="72" t="s">
        <v>273</v>
      </c>
      <c r="F158" s="57">
        <f>'Приложение 3'!G160</f>
        <v>3481.44661</v>
      </c>
      <c r="G158" s="57">
        <f>'Приложение 3'!H160</f>
        <v>3481.44661</v>
      </c>
      <c r="H158" s="63">
        <f t="shared" si="2"/>
        <v>100</v>
      </c>
    </row>
    <row r="159" spans="1:8" ht="24" hidden="1" outlineLevel="2">
      <c r="A159" s="44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>
        <f>'Приложение 3'!F161</f>
        <v>600</v>
      </c>
      <c r="F159" s="57">
        <f>'Приложение 3'!G161</f>
        <v>0</v>
      </c>
      <c r="G159" s="57">
        <f>'Приложение 3'!H161</f>
        <v>0</v>
      </c>
      <c r="H159" s="63" t="e">
        <f t="shared" si="2"/>
        <v>#DIV/0!</v>
      </c>
    </row>
    <row r="160" spans="1:8" ht="38.25" customHeight="1" outlineLevel="2">
      <c r="A160" s="44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4</v>
      </c>
      <c r="E160" s="72"/>
      <c r="F160" s="57">
        <f>'Приложение 3'!G162</f>
        <v>245.775</v>
      </c>
      <c r="G160" s="57">
        <f>'Приложение 3'!H162</f>
        <v>245.775</v>
      </c>
      <c r="H160" s="63">
        <f t="shared" si="2"/>
        <v>100</v>
      </c>
    </row>
    <row r="161" spans="1:8" ht="24" outlineLevel="2">
      <c r="A161" s="44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4</v>
      </c>
      <c r="E161" s="72">
        <f>'Приложение 3'!F163</f>
        <v>600</v>
      </c>
      <c r="F161" s="57">
        <f>'Приложение 3'!G163</f>
        <v>245.775</v>
      </c>
      <c r="G161" s="57">
        <f>'Приложение 3'!H163</f>
        <v>245.775</v>
      </c>
      <c r="H161" s="63">
        <f t="shared" si="2"/>
        <v>100</v>
      </c>
    </row>
    <row r="162" spans="1:8" ht="96" outlineLevel="2">
      <c r="A162" s="44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2" t="str">
        <f>'Приложение 3'!C164</f>
        <v>0701</v>
      </c>
      <c r="C162" s="72" t="str">
        <f>'Приложение 3'!D164</f>
        <v>22</v>
      </c>
      <c r="D162" s="72">
        <f>'Приложение 3'!E164</f>
        <v>0</v>
      </c>
      <c r="E162" s="72"/>
      <c r="F162" s="57">
        <f>'Приложение 3'!G164</f>
        <v>134.8218</v>
      </c>
      <c r="G162" s="57">
        <f>'Приложение 3'!H164</f>
        <v>134.8218</v>
      </c>
      <c r="H162" s="63">
        <f t="shared" si="2"/>
        <v>100</v>
      </c>
    </row>
    <row r="163" spans="1:8" ht="24" outlineLevel="2">
      <c r="A163" s="44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22</v>
      </c>
      <c r="D163" s="72">
        <f>'Приложение 3'!E165</f>
        <v>0</v>
      </c>
      <c r="E163" s="72">
        <f>'Приложение 3'!F165</f>
        <v>600</v>
      </c>
      <c r="F163" s="57">
        <f>'Приложение 3'!G165</f>
        <v>134.8218</v>
      </c>
      <c r="G163" s="57">
        <f>'Приложение 3'!H165</f>
        <v>134.8218</v>
      </c>
      <c r="H163" s="63">
        <f t="shared" si="2"/>
        <v>100</v>
      </c>
    </row>
    <row r="164" spans="1:8" ht="36" outlineLevel="2">
      <c r="A164" s="44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2" t="str">
        <f>'Приложение 3'!C166</f>
        <v>0701</v>
      </c>
      <c r="C164" s="72" t="str">
        <f>'Приложение 3'!D166</f>
        <v>52</v>
      </c>
      <c r="D164" s="72">
        <f>'Приложение 3'!E166</f>
        <v>0</v>
      </c>
      <c r="E164" s="72"/>
      <c r="F164" s="57">
        <f>'Приложение 3'!G166</f>
        <v>23331.66804</v>
      </c>
      <c r="G164" s="57">
        <f>'Приложение 3'!H166</f>
        <v>23331.66804</v>
      </c>
      <c r="H164" s="63">
        <f t="shared" si="2"/>
        <v>100</v>
      </c>
    </row>
    <row r="165" spans="1:8" ht="24" outlineLevel="2">
      <c r="A165" s="44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52</v>
      </c>
      <c r="D165" s="72">
        <f>'Приложение 3'!E167</f>
        <v>0</v>
      </c>
      <c r="E165" s="72">
        <f>'Приложение 3'!F167</f>
        <v>600</v>
      </c>
      <c r="F165" s="57">
        <f>'Приложение 3'!G167</f>
        <v>11384.89465</v>
      </c>
      <c r="G165" s="57">
        <f>'Приложение 3'!H167</f>
        <v>11384.89465</v>
      </c>
      <c r="H165" s="63">
        <f t="shared" si="2"/>
        <v>100</v>
      </c>
    </row>
    <row r="166" spans="1:8" ht="36" outlineLevel="2">
      <c r="A166" s="44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>
        <f>'Приложение 3'!F168</f>
        <v>600</v>
      </c>
      <c r="F166" s="57">
        <f>'Приложение 3'!G168</f>
        <v>11923.9</v>
      </c>
      <c r="G166" s="57">
        <f>'Приложение 3'!H168</f>
        <v>11923.9</v>
      </c>
      <c r="H166" s="63">
        <f t="shared" si="2"/>
        <v>100</v>
      </c>
    </row>
    <row r="167" spans="1:8" ht="46.5" customHeight="1" hidden="1" outlineLevel="2">
      <c r="A167" s="44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7">
        <f>'Приложение 3'!G169</f>
        <v>0</v>
      </c>
      <c r="G167" s="57">
        <f>'Приложение 3'!H169</f>
        <v>0</v>
      </c>
      <c r="H167" s="63" t="e">
        <f t="shared" si="2"/>
        <v>#DIV/0!</v>
      </c>
    </row>
    <row r="168" spans="1:8" ht="23.25" customHeight="1" outlineLevel="2">
      <c r="A168" s="44" t="str">
        <f>'Приложение 3'!A170</f>
        <v>За счет средств на расходы на осуществление социальных гарантий молодым специалистам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7">
        <f>'Приложение 3'!G170</f>
        <v>22.87339</v>
      </c>
      <c r="G168" s="57">
        <f>'Приложение 3'!H170</f>
        <v>22.87339</v>
      </c>
      <c r="H168" s="63">
        <f t="shared" si="2"/>
        <v>100</v>
      </c>
    </row>
    <row r="169" spans="1:8" ht="108" hidden="1" outlineLevel="2">
      <c r="A169" s="44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7">
        <f>'Приложение 3'!G171</f>
        <v>0</v>
      </c>
      <c r="G169" s="57">
        <f>'Приложение 3'!H171</f>
        <v>0</v>
      </c>
      <c r="H169" s="63" t="e">
        <f t="shared" si="2"/>
        <v>#DIV/0!</v>
      </c>
    </row>
    <row r="170" spans="1:8" ht="36" outlineLevel="2">
      <c r="A170" s="44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2" t="str">
        <f>'Приложение 3'!C172</f>
        <v>0701</v>
      </c>
      <c r="C170" s="72" t="str">
        <f>'Приложение 3'!D172</f>
        <v>53</v>
      </c>
      <c r="D170" s="72">
        <f>'Приложение 3'!E172</f>
        <v>0</v>
      </c>
      <c r="E170" s="72"/>
      <c r="F170" s="57">
        <f>'Приложение 3'!G172</f>
        <v>11531.81187</v>
      </c>
      <c r="G170" s="57">
        <f>'Приложение 3'!H172</f>
        <v>11424.21187</v>
      </c>
      <c r="H170" s="63">
        <f t="shared" si="2"/>
        <v>99.06692893351892</v>
      </c>
    </row>
    <row r="171" spans="1:8" ht="12.75" outlineLevel="2">
      <c r="A171" s="44" t="str">
        <f>'Приложение 3'!A173</f>
        <v>Подпрограмма "Развитие дошкольного образования детей"</v>
      </c>
      <c r="B171" s="72" t="str">
        <f>'Приложение 3'!C173</f>
        <v>0701</v>
      </c>
      <c r="C171" s="72" t="str">
        <f>'Приложение 3'!D173</f>
        <v>53</v>
      </c>
      <c r="D171" s="72">
        <f>'Приложение 3'!E173</f>
        <v>1</v>
      </c>
      <c r="E171" s="72">
        <f>'Приложение 3'!F173</f>
        <v>0</v>
      </c>
      <c r="F171" s="57">
        <f>'Приложение 3'!G173</f>
        <v>11531.81187</v>
      </c>
      <c r="G171" s="57">
        <f>'Приложение 3'!H173</f>
        <v>11424.21187</v>
      </c>
      <c r="H171" s="63">
        <f t="shared" si="2"/>
        <v>99.06692893351892</v>
      </c>
    </row>
    <row r="172" spans="1:8" ht="74.25" customHeight="1" outlineLevel="2">
      <c r="A172" s="44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1</v>
      </c>
      <c r="E172" s="72">
        <f>'Приложение 3'!F174</f>
        <v>600</v>
      </c>
      <c r="F172" s="57">
        <f>'Приложение 3'!G174</f>
        <v>8260</v>
      </c>
      <c r="G172" s="57">
        <f>'Приложение 3'!H174</f>
        <v>8152.4</v>
      </c>
      <c r="H172" s="63">
        <f t="shared" si="2"/>
        <v>98.69733656174333</v>
      </c>
    </row>
    <row r="173" spans="1:8" ht="51" customHeight="1" hidden="1" outlineLevel="2">
      <c r="A173" s="44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600</v>
      </c>
      <c r="F173" s="57">
        <f>'Приложение 3'!G175</f>
        <v>0</v>
      </c>
      <c r="G173" s="57">
        <f>'Приложение 3'!H175</f>
        <v>0</v>
      </c>
      <c r="H173" s="63" t="e">
        <f t="shared" si="2"/>
        <v>#DIV/0!</v>
      </c>
    </row>
    <row r="174" spans="1:8" ht="27.75" customHeight="1" outlineLevel="2">
      <c r="A174" s="44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7">
        <f>'Приложение 3'!G176</f>
        <v>3271.81187</v>
      </c>
      <c r="G174" s="57">
        <f>'Приложение 3'!H176</f>
        <v>3271.81187</v>
      </c>
      <c r="H174" s="63">
        <f t="shared" si="2"/>
        <v>100</v>
      </c>
    </row>
    <row r="175" spans="1:8" ht="71.25" customHeight="1" hidden="1" outlineLevel="2">
      <c r="A175" s="44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0</v>
      </c>
      <c r="E175" s="72">
        <f>'Приложение 3'!F177</f>
        <v>600</v>
      </c>
      <c r="F175" s="57">
        <f>'Приложение 3'!G177</f>
        <v>0</v>
      </c>
      <c r="G175" s="57">
        <f>'Приложение 3'!H177</f>
        <v>0</v>
      </c>
      <c r="H175" s="63" t="e">
        <f t="shared" si="2"/>
        <v>#DIV/0!</v>
      </c>
    </row>
    <row r="176" spans="1:8" ht="7.5" customHeight="1" hidden="1" outlineLevel="2">
      <c r="A176" s="44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0</v>
      </c>
      <c r="E176" s="72">
        <f>'Приложение 3'!F178</f>
        <v>600</v>
      </c>
      <c r="F176" s="57">
        <f>'Приложение 3'!G178</f>
        <v>0</v>
      </c>
      <c r="G176" s="57">
        <f>'Приложение 3'!H178</f>
        <v>0</v>
      </c>
      <c r="H176" s="63" t="e">
        <f t="shared" si="2"/>
        <v>#DIV/0!</v>
      </c>
    </row>
    <row r="177" spans="1:8" ht="12.75" outlineLevel="5">
      <c r="A177" s="44" t="str">
        <f>'Приложение 3'!A179</f>
        <v>Общее образование</v>
      </c>
      <c r="B177" s="72" t="str">
        <f>'Приложение 3'!C179</f>
        <v>0702</v>
      </c>
      <c r="C177" s="72"/>
      <c r="D177" s="72"/>
      <c r="E177" s="72"/>
      <c r="F177" s="57">
        <f>'Приложение 3'!G179</f>
        <v>194571.39222999997</v>
      </c>
      <c r="G177" s="57">
        <f>'Приложение 3'!H179</f>
        <v>194368.08683</v>
      </c>
      <c r="H177" s="63">
        <f t="shared" si="2"/>
        <v>99.89551115522694</v>
      </c>
    </row>
    <row r="178" spans="1:8" ht="24" outlineLevel="5">
      <c r="A178" s="44" t="str">
        <f>'Приложение 3'!A180</f>
        <v>Школы-детские сады, школы начальные, неполные средние и средние</v>
      </c>
      <c r="B178" s="72" t="str">
        <f>'Приложение 3'!C180</f>
        <v>0702</v>
      </c>
      <c r="C178" s="72"/>
      <c r="D178" s="72"/>
      <c r="E178" s="72"/>
      <c r="F178" s="57">
        <f>'Приложение 3'!G180</f>
        <v>194571.39222999997</v>
      </c>
      <c r="G178" s="57">
        <f>'Приложение 3'!H180</f>
        <v>194368.08683</v>
      </c>
      <c r="H178" s="63">
        <f t="shared" si="2"/>
        <v>99.89551115522694</v>
      </c>
    </row>
    <row r="179" spans="1:8" ht="37.5" customHeight="1" outlineLevel="5">
      <c r="A179" s="44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2" t="str">
        <f>'Приложение 3'!C181</f>
        <v>0702</v>
      </c>
      <c r="C179" s="72" t="str">
        <f>'Приложение 3'!D181</f>
        <v>02</v>
      </c>
      <c r="D179" s="72">
        <f>'Приложение 3'!E181</f>
        <v>0</v>
      </c>
      <c r="E179" s="72"/>
      <c r="F179" s="57">
        <f>'Приложение 3'!G181</f>
        <v>10838.37498</v>
      </c>
      <c r="G179" s="57">
        <f>'Приложение 3'!H181</f>
        <v>10815.66071</v>
      </c>
      <c r="H179" s="63">
        <f t="shared" si="2"/>
        <v>99.79042734688626</v>
      </c>
    </row>
    <row r="180" spans="1:8" ht="36" outlineLevel="5">
      <c r="A180" s="44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2" t="str">
        <f>'Приложение 3'!C182</f>
        <v>0702</v>
      </c>
      <c r="C180" s="72" t="str">
        <f>'Приложение 3'!D182</f>
        <v>02</v>
      </c>
      <c r="D180" s="72">
        <f>'Приложение 3'!E182</f>
        <v>3</v>
      </c>
      <c r="E180" s="72"/>
      <c r="F180" s="57">
        <f>'Приложение 3'!G182</f>
        <v>9398.12862</v>
      </c>
      <c r="G180" s="57">
        <f>'Приложение 3'!H182</f>
        <v>9375.41435</v>
      </c>
      <c r="H180" s="63">
        <f t="shared" si="2"/>
        <v>99.75831071356416</v>
      </c>
    </row>
    <row r="181" spans="1:8" ht="24" hidden="1" outlineLevel="5">
      <c r="A181" s="44" t="str">
        <f>'Приложение 3'!A183</f>
        <v>Закупка товаров, работ и услуг для государственных (муниципальных) нужд</v>
      </c>
      <c r="B181" s="72" t="str">
        <f>'Приложение 3'!C183</f>
        <v>0702</v>
      </c>
      <c r="C181" s="72" t="str">
        <f>'Приложение 3'!D183</f>
        <v>02</v>
      </c>
      <c r="D181" s="72">
        <f>'Приложение 3'!E183</f>
        <v>3</v>
      </c>
      <c r="E181" s="72" t="s">
        <v>147</v>
      </c>
      <c r="F181" s="57">
        <f>'Приложение 3'!G183</f>
        <v>0</v>
      </c>
      <c r="G181" s="57">
        <f>'Приложение 3'!H183</f>
        <v>0</v>
      </c>
      <c r="H181" s="63" t="e">
        <f t="shared" si="2"/>
        <v>#DIV/0!</v>
      </c>
    </row>
    <row r="182" spans="1:8" ht="24" outlineLevel="5">
      <c r="A182" s="44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3</v>
      </c>
      <c r="E182" s="72">
        <f>'Приложение 3'!F184</f>
        <v>600</v>
      </c>
      <c r="F182" s="57">
        <f>'Приложение 3'!G184</f>
        <v>9398.12862</v>
      </c>
      <c r="G182" s="57">
        <f>'Приложение 3'!H184</f>
        <v>9375.41435</v>
      </c>
      <c r="H182" s="63">
        <f t="shared" si="2"/>
        <v>99.75831071356416</v>
      </c>
    </row>
    <row r="183" spans="1:8" ht="36.75" customHeight="1" outlineLevel="5">
      <c r="A183" s="44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4</v>
      </c>
      <c r="E183" s="72"/>
      <c r="F183" s="57">
        <f>'Приложение 3'!G185</f>
        <v>1440.24636</v>
      </c>
      <c r="G183" s="57">
        <f>'Приложение 3'!H185</f>
        <v>1440.24636</v>
      </c>
      <c r="H183" s="63">
        <f t="shared" si="2"/>
        <v>100</v>
      </c>
    </row>
    <row r="184" spans="1:8" ht="24" outlineLevel="5">
      <c r="A184" s="44" t="str">
        <f>'Приложение 3'!A186</f>
        <v>Закупка товаров, работ и услуг для государственных (муниципальных) нужд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4</v>
      </c>
      <c r="E184" s="72">
        <f>'Приложение 3'!F186</f>
        <v>200</v>
      </c>
      <c r="F184" s="57">
        <f>'Приложение 3'!G186</f>
        <v>20.312</v>
      </c>
      <c r="G184" s="57">
        <f>'Приложение 3'!H186</f>
        <v>20.312</v>
      </c>
      <c r="H184" s="63">
        <f t="shared" si="2"/>
        <v>100</v>
      </c>
    </row>
    <row r="185" spans="1:8" ht="24" outlineLevel="5">
      <c r="A185" s="44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4</v>
      </c>
      <c r="E185" s="72">
        <f>'Приложение 3'!F187</f>
        <v>600</v>
      </c>
      <c r="F185" s="57">
        <f>'Приложение 3'!G187</f>
        <v>367.30278000000004</v>
      </c>
      <c r="G185" s="57">
        <f>'Приложение 3'!H187</f>
        <v>367.30278000000004</v>
      </c>
      <c r="H185" s="63">
        <f t="shared" si="2"/>
        <v>100</v>
      </c>
    </row>
    <row r="186" spans="1:8" ht="60" outlineLevel="5">
      <c r="A186" s="44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>
        <f>'Приложение 3'!F188</f>
        <v>600</v>
      </c>
      <c r="F186" s="57">
        <f>'Приложение 3'!G188</f>
        <v>1052.63158</v>
      </c>
      <c r="G186" s="57">
        <f>'Приложение 3'!H188</f>
        <v>1052.63158</v>
      </c>
      <c r="H186" s="63">
        <f t="shared" si="2"/>
        <v>100</v>
      </c>
    </row>
    <row r="187" spans="1:8" ht="36" hidden="1" outlineLevel="5">
      <c r="A187" s="44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2" t="str">
        <f>'Приложение 3'!C189</f>
        <v>0702</v>
      </c>
      <c r="C187" s="72" t="str">
        <f>'Приложение 3'!D189</f>
        <v>17</v>
      </c>
      <c r="D187" s="72">
        <f>'Приложение 3'!E189</f>
        <v>0</v>
      </c>
      <c r="E187" s="72"/>
      <c r="F187" s="57">
        <f>'Приложение 3'!G189</f>
        <v>0</v>
      </c>
      <c r="G187" s="57">
        <f>'Приложение 3'!H189</f>
        <v>0</v>
      </c>
      <c r="H187" s="63" t="e">
        <f t="shared" si="2"/>
        <v>#DIV/0!</v>
      </c>
    </row>
    <row r="188" spans="1:8" ht="84" hidden="1" outlineLevel="5">
      <c r="A188" s="44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2" t="str">
        <f>'Приложение 3'!C190</f>
        <v>0702</v>
      </c>
      <c r="C188" s="72" t="str">
        <f>'Приложение 3'!D190</f>
        <v>17</v>
      </c>
      <c r="D188" s="72">
        <f>'Приложение 3'!E190</f>
        <v>0</v>
      </c>
      <c r="E188" s="72">
        <f>'Приложение 3'!F190</f>
        <v>600</v>
      </c>
      <c r="F188" s="57">
        <f>'Приложение 3'!G190</f>
        <v>0</v>
      </c>
      <c r="G188" s="57">
        <f>'Приложение 3'!H190</f>
        <v>0</v>
      </c>
      <c r="H188" s="63" t="e">
        <f t="shared" si="2"/>
        <v>#DIV/0!</v>
      </c>
    </row>
    <row r="189" spans="1:8" ht="84" hidden="1" outlineLevel="5">
      <c r="A189" s="44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2" t="str">
        <f>'Приложение 3'!C191</f>
        <v>0702</v>
      </c>
      <c r="C189" s="72" t="str">
        <f>'Приложение 3'!D191</f>
        <v>17</v>
      </c>
      <c r="D189" s="72">
        <f>'Приложение 3'!E191</f>
        <v>0</v>
      </c>
      <c r="E189" s="72">
        <f>'Приложение 3'!F191</f>
        <v>600</v>
      </c>
      <c r="F189" s="57">
        <f>'Приложение 3'!G191</f>
        <v>0</v>
      </c>
      <c r="G189" s="57">
        <f>'Приложение 3'!H191</f>
        <v>0</v>
      </c>
      <c r="H189" s="63" t="e">
        <f t="shared" si="2"/>
        <v>#DIV/0!</v>
      </c>
    </row>
    <row r="190" spans="1:8" ht="96" outlineLevel="5">
      <c r="A190" s="44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2" t="str">
        <f>'Приложение 3'!C192</f>
        <v>0702</v>
      </c>
      <c r="C190" s="72" t="str">
        <f>'Приложение 3'!D192</f>
        <v>22</v>
      </c>
      <c r="D190" s="72">
        <f>'Приложение 3'!E192</f>
        <v>0</v>
      </c>
      <c r="E190" s="72"/>
      <c r="F190" s="57">
        <f>'Приложение 3'!G192</f>
        <v>900.2891999999999</v>
      </c>
      <c r="G190" s="57">
        <f>'Приложение 3'!H192</f>
        <v>856.9402399999999</v>
      </c>
      <c r="H190" s="63">
        <f t="shared" si="2"/>
        <v>95.18499611013883</v>
      </c>
    </row>
    <row r="191" spans="1:8" ht="24" outlineLevel="5">
      <c r="A191" s="44" t="str">
        <f>'Приложение 3'!A193</f>
        <v>Закупка товаров, работ и услуг для государственных (муниципальных) нужд</v>
      </c>
      <c r="B191" s="72" t="str">
        <f>'Приложение 3'!C193</f>
        <v>0702</v>
      </c>
      <c r="C191" s="72" t="str">
        <f>'Приложение 3'!D193</f>
        <v>22</v>
      </c>
      <c r="D191" s="72">
        <f>'Приложение 3'!E193</f>
        <v>0</v>
      </c>
      <c r="E191" s="72">
        <f>'Приложение 3'!F193</f>
        <v>200</v>
      </c>
      <c r="F191" s="57">
        <f>'Приложение 3'!G193</f>
        <v>39.41423999999999</v>
      </c>
      <c r="G191" s="57">
        <f>'Приложение 3'!H193</f>
        <v>39.41423999999999</v>
      </c>
      <c r="H191" s="63">
        <f t="shared" si="2"/>
        <v>100</v>
      </c>
    </row>
    <row r="192" spans="1:8" ht="24" outlineLevel="5">
      <c r="A192" s="44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2" t="str">
        <f>'Приложение 3'!C194</f>
        <v>0702</v>
      </c>
      <c r="C192" s="72" t="str">
        <f>'Приложение 3'!D194</f>
        <v>22</v>
      </c>
      <c r="D192" s="72">
        <f>'Приложение 3'!E194</f>
        <v>0</v>
      </c>
      <c r="E192" s="72">
        <f>'Приложение 3'!F194</f>
        <v>600</v>
      </c>
      <c r="F192" s="57">
        <f>'Приложение 3'!G194</f>
        <v>860.87496</v>
      </c>
      <c r="G192" s="57">
        <f>'Приложение 3'!H194</f>
        <v>817.526</v>
      </c>
      <c r="H192" s="63">
        <f t="shared" si="2"/>
        <v>94.96454630298457</v>
      </c>
    </row>
    <row r="193" spans="1:8" ht="36" outlineLevel="5">
      <c r="A193" s="44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2" t="str">
        <f>'Приложение 3'!C195</f>
        <v>0702</v>
      </c>
      <c r="C193" s="72" t="str">
        <f>'Приложение 3'!D195</f>
        <v>53</v>
      </c>
      <c r="D193" s="72">
        <f>'Приложение 3'!E195</f>
        <v>0</v>
      </c>
      <c r="E193" s="72"/>
      <c r="F193" s="57">
        <f>'Приложение 3'!G195</f>
        <v>182832.72804999998</v>
      </c>
      <c r="G193" s="57">
        <f>'Приложение 3'!H195</f>
        <v>182695.48588</v>
      </c>
      <c r="H193" s="63">
        <f t="shared" si="2"/>
        <v>99.92493566580572</v>
      </c>
    </row>
    <row r="194" spans="1:8" ht="12.75" outlineLevel="5">
      <c r="A194" s="44" t="str">
        <f>'Приложение 3'!A196</f>
        <v>Подпрограмма "Развитие общего образования детей"</v>
      </c>
      <c r="B194" s="72" t="str">
        <f>'Приложение 3'!C196</f>
        <v>0702</v>
      </c>
      <c r="C194" s="72" t="str">
        <f>'Приложение 3'!D196</f>
        <v>53</v>
      </c>
      <c r="D194" s="72">
        <f>'Приложение 3'!E196</f>
        <v>2</v>
      </c>
      <c r="E194" s="72" t="s">
        <v>9</v>
      </c>
      <c r="F194" s="57">
        <f>'Приложение 3'!G196</f>
        <v>182832.72804999998</v>
      </c>
      <c r="G194" s="57">
        <f>'Приложение 3'!H196</f>
        <v>182695.48588</v>
      </c>
      <c r="H194" s="63">
        <f t="shared" si="2"/>
        <v>99.92493566580572</v>
      </c>
    </row>
    <row r="195" spans="1:8" ht="12.75" outlineLevel="5">
      <c r="A195" s="44" t="str">
        <f>'Приложение 3'!A197</f>
        <v>За счет средств бюджета муниципального района</v>
      </c>
      <c r="B195" s="72" t="str">
        <f>'Приложение 3'!C197</f>
        <v>0702</v>
      </c>
      <c r="C195" s="72" t="str">
        <f>'Приложение 3'!D197</f>
        <v>53</v>
      </c>
      <c r="D195" s="72">
        <f>'Приложение 3'!E197</f>
        <v>2</v>
      </c>
      <c r="E195" s="72" t="s">
        <v>9</v>
      </c>
      <c r="F195" s="57">
        <f>'Приложение 3'!G197</f>
        <v>24879.352490000005</v>
      </c>
      <c r="G195" s="57">
        <f>'Приложение 3'!H197</f>
        <v>24876.265530000004</v>
      </c>
      <c r="H195" s="63">
        <f t="shared" si="2"/>
        <v>99.98759228158674</v>
      </c>
    </row>
    <row r="196" spans="1:8" ht="48" outlineLevel="5">
      <c r="A196" s="44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2</v>
      </c>
      <c r="E196" s="72">
        <f>'Приложение 3'!F198</f>
        <v>100</v>
      </c>
      <c r="F196" s="57">
        <f>'Приложение 3'!G198</f>
        <v>310.05895</v>
      </c>
      <c r="G196" s="57">
        <f>'Приложение 3'!H198</f>
        <v>310.05895</v>
      </c>
      <c r="H196" s="63">
        <f t="shared" si="2"/>
        <v>100</v>
      </c>
    </row>
    <row r="197" spans="1:8" ht="24" outlineLevel="5">
      <c r="A197" s="44" t="str">
        <f>'Приложение 3'!A199</f>
        <v>Закупка товаров, работ и услуг для государственных (муниципальных) нужд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>
        <f>'Приложение 3'!F199</f>
        <v>200</v>
      </c>
      <c r="F197" s="57">
        <f>'Приложение 3'!G199</f>
        <v>908.25474</v>
      </c>
      <c r="G197" s="57">
        <f>'Приложение 3'!H199</f>
        <v>908.25474</v>
      </c>
      <c r="H197" s="63">
        <f t="shared" si="2"/>
        <v>100</v>
      </c>
    </row>
    <row r="198" spans="1:8" ht="48" outlineLevel="5">
      <c r="A198" s="44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>
        <f>'Приложение 3'!F200</f>
        <v>200</v>
      </c>
      <c r="F198" s="57">
        <f>'Приложение 3'!G200</f>
        <v>28.53311</v>
      </c>
      <c r="G198" s="57">
        <f>'Приложение 3'!H200</f>
        <v>25.44615</v>
      </c>
      <c r="H198" s="63">
        <f t="shared" si="2"/>
        <v>89.18113027286545</v>
      </c>
    </row>
    <row r="199" spans="1:8" ht="48" outlineLevel="5">
      <c r="A199" s="44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2" t="str">
        <f>'Приложение 3'!C200</f>
        <v>0702</v>
      </c>
      <c r="C199" s="72" t="str">
        <f>'Приложение 3'!D200</f>
        <v>53</v>
      </c>
      <c r="D199" s="72">
        <f>'Приложение 3'!E200</f>
        <v>2</v>
      </c>
      <c r="E199" s="72" t="s">
        <v>147</v>
      </c>
      <c r="F199" s="57">
        <f>'Приложение 3'!G200</f>
        <v>28.53311</v>
      </c>
      <c r="G199" s="57">
        <f>'Приложение 3'!H200</f>
        <v>25.44615</v>
      </c>
      <c r="H199" s="63">
        <f t="shared" si="2"/>
        <v>89.18113027286545</v>
      </c>
    </row>
    <row r="200" spans="1:8" ht="12.75" outlineLevel="5">
      <c r="A200" s="44" t="str">
        <f>'Приложение 3'!A201</f>
        <v>Иные бюджетные ассигнования</v>
      </c>
      <c r="B200" s="72" t="str">
        <f>'Приложение 3'!C201</f>
        <v>0702</v>
      </c>
      <c r="C200" s="72" t="str">
        <f>'Приложение 3'!D201</f>
        <v>53</v>
      </c>
      <c r="D200" s="72">
        <f>'Приложение 3'!E201</f>
        <v>2</v>
      </c>
      <c r="E200" s="72">
        <f>'Приложение 3'!F201</f>
        <v>800</v>
      </c>
      <c r="F200" s="57">
        <f>'Приложение 3'!G201</f>
        <v>44.56235</v>
      </c>
      <c r="G200" s="57">
        <f>'Приложение 3'!H201</f>
        <v>44.56235</v>
      </c>
      <c r="H200" s="63">
        <f t="shared" si="2"/>
        <v>100</v>
      </c>
    </row>
    <row r="201" spans="1:8" ht="26.25" customHeight="1" outlineLevel="5">
      <c r="A201" s="44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2" t="str">
        <f>'Приложение 3'!C202</f>
        <v>0702</v>
      </c>
      <c r="C201" s="72" t="str">
        <f>'Приложение 3'!D202</f>
        <v>53</v>
      </c>
      <c r="D201" s="72">
        <f>'Приложение 3'!E202</f>
        <v>2</v>
      </c>
      <c r="E201" s="72">
        <f>'Приложение 3'!F202</f>
        <v>600</v>
      </c>
      <c r="F201" s="57">
        <f>'Приложение 3'!G202</f>
        <v>21686.040760000004</v>
      </c>
      <c r="G201" s="57">
        <f>'Приложение 3'!H202</f>
        <v>21686.040760000004</v>
      </c>
      <c r="H201" s="63">
        <f t="shared" si="2"/>
        <v>100</v>
      </c>
    </row>
    <row r="202" spans="1:8" ht="26.25" customHeight="1" outlineLevel="5">
      <c r="A202" s="44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>
        <f>'Приложение 3'!F203</f>
        <v>600</v>
      </c>
      <c r="F202" s="57">
        <f>'Приложение 3'!G203</f>
        <v>1901.90258</v>
      </c>
      <c r="G202" s="57">
        <f>'Приложение 3'!H203</f>
        <v>1901.90258</v>
      </c>
      <c r="H202" s="63">
        <f aca="true" t="shared" si="3" ref="H202:H265">SUM(G202/F202)*100</f>
        <v>100</v>
      </c>
    </row>
    <row r="203" spans="1:8" ht="12.75" outlineLevel="5">
      <c r="A203" s="44" t="str">
        <f>'Приложение 3'!A204</f>
        <v>За счет средств областного бюджета 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 t="s">
        <v>9</v>
      </c>
      <c r="F203" s="57">
        <f>'Приложение 3'!G204</f>
        <v>157953.37555999996</v>
      </c>
      <c r="G203" s="57">
        <f>'Приложение 3'!H204</f>
        <v>157819.22035</v>
      </c>
      <c r="H203" s="63">
        <f t="shared" si="3"/>
        <v>99.91506657611822</v>
      </c>
    </row>
    <row r="204" spans="1:8" ht="38.25" customHeight="1" outlineLevel="5">
      <c r="A204" s="44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100</v>
      </c>
      <c r="F204" s="57">
        <f>'Приложение 3'!G205</f>
        <v>6605.231900000001</v>
      </c>
      <c r="G204" s="57">
        <f>'Приложение 3'!H205</f>
        <v>6605.231900000001</v>
      </c>
      <c r="H204" s="63">
        <f t="shared" si="3"/>
        <v>100</v>
      </c>
    </row>
    <row r="205" spans="1:8" ht="4.5" customHeight="1" hidden="1" outlineLevel="5">
      <c r="A205" s="44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>
        <f>'Приложение 3'!F206</f>
        <v>100</v>
      </c>
      <c r="F205" s="57">
        <f>'Приложение 3'!G206</f>
        <v>0</v>
      </c>
      <c r="G205" s="57">
        <f>'Приложение 3'!H206</f>
        <v>0</v>
      </c>
      <c r="H205" s="63" t="e">
        <f t="shared" si="3"/>
        <v>#DIV/0!</v>
      </c>
    </row>
    <row r="206" spans="1:8" ht="36" outlineLevel="5">
      <c r="A206" s="44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100</v>
      </c>
      <c r="F206" s="57">
        <f>'Приложение 3'!G207</f>
        <v>708.60824</v>
      </c>
      <c r="G206" s="57">
        <f>'Приложение 3'!H207</f>
        <v>708.60824</v>
      </c>
      <c r="H206" s="63">
        <f t="shared" si="3"/>
        <v>100</v>
      </c>
    </row>
    <row r="207" spans="1:8" ht="30" customHeight="1" outlineLevel="5">
      <c r="A207" s="44" t="str">
        <f>'Приложение 3'!A208</f>
        <v>Закупка товаров, работ и услуг для государственных (муниципальных) нужд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>
        <f>'Приложение 3'!F208</f>
        <v>200</v>
      </c>
      <c r="F207" s="57">
        <f>'Приложение 3'!G208</f>
        <v>102.95641</v>
      </c>
      <c r="G207" s="57">
        <f>'Приложение 3'!H208</f>
        <v>102.95641</v>
      </c>
      <c r="H207" s="63">
        <f t="shared" si="3"/>
        <v>100</v>
      </c>
    </row>
    <row r="208" spans="1:8" ht="17.25" customHeight="1" outlineLevel="5">
      <c r="A208" s="44" t="str">
        <f>'Приложение 3'!A209</f>
        <v>За счет средств областного бюджета на питание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200</v>
      </c>
      <c r="F208" s="57">
        <f>'Приложение 3'!G209</f>
        <v>57.43073999999999</v>
      </c>
      <c r="G208" s="57">
        <f>'Приложение 3'!H209</f>
        <v>57.43073999999999</v>
      </c>
      <c r="H208" s="63">
        <f t="shared" si="3"/>
        <v>100</v>
      </c>
    </row>
    <row r="209" spans="1:8" ht="24.75" customHeight="1" outlineLevel="5">
      <c r="A209" s="44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200</v>
      </c>
      <c r="F209" s="57">
        <f>'Приложение 3'!G210</f>
        <v>93.6706</v>
      </c>
      <c r="G209" s="57">
        <f>'Приложение 3'!H210</f>
        <v>84.19878</v>
      </c>
      <c r="H209" s="63">
        <f t="shared" si="3"/>
        <v>89.88816128006013</v>
      </c>
    </row>
    <row r="210" spans="1:8" ht="60" outlineLevel="5">
      <c r="A210" s="44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600</v>
      </c>
      <c r="F210" s="57">
        <f>'Приложение 3'!G211</f>
        <v>5829.57835</v>
      </c>
      <c r="G210" s="57">
        <f>'Приложение 3'!H211</f>
        <v>5829.57835</v>
      </c>
      <c r="H210" s="63">
        <f t="shared" si="3"/>
        <v>100</v>
      </c>
    </row>
    <row r="211" spans="1:8" ht="24" outlineLevel="5">
      <c r="A211" s="44" t="str">
        <f>'Приложение 3'!A212</f>
        <v>За счет средств областного бюджета на образовательный процесс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600</v>
      </c>
      <c r="F211" s="57">
        <f>'Приложение 3'!G212</f>
        <v>127478.21169</v>
      </c>
      <c r="G211" s="57">
        <f>'Приложение 3'!H212</f>
        <v>127478.1283</v>
      </c>
      <c r="H211" s="63">
        <f t="shared" si="3"/>
        <v>99.99993458489973</v>
      </c>
    </row>
    <row r="212" spans="1:8" ht="48" hidden="1" outlineLevel="5">
      <c r="A212" s="44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600</v>
      </c>
      <c r="F212" s="57">
        <f>'Приложение 3'!G213</f>
        <v>0</v>
      </c>
      <c r="G212" s="57">
        <f>'Приложение 3'!H213</f>
        <v>0</v>
      </c>
      <c r="H212" s="63" t="e">
        <f t="shared" si="3"/>
        <v>#DIV/0!</v>
      </c>
    </row>
    <row r="213" spans="1:8" ht="36" outlineLevel="5">
      <c r="A213" s="44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600</v>
      </c>
      <c r="F213" s="57">
        <f>'Приложение 3'!G214</f>
        <v>12703.79176</v>
      </c>
      <c r="G213" s="57">
        <f>'Приложение 3'!H214</f>
        <v>12703.79176</v>
      </c>
      <c r="H213" s="63">
        <f t="shared" si="3"/>
        <v>100</v>
      </c>
    </row>
    <row r="214" spans="1:8" ht="12.75" outlineLevel="5">
      <c r="A214" s="44" t="str">
        <f>'Приложение 3'!A215</f>
        <v>За счет средств областного бюджета на питание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7">
        <f>'Приложение 3'!G215</f>
        <v>4092.5692599999993</v>
      </c>
      <c r="G214" s="57">
        <f>'Приложение 3'!H215</f>
        <v>4092.5692599999993</v>
      </c>
      <c r="H214" s="63">
        <f t="shared" si="3"/>
        <v>100</v>
      </c>
    </row>
    <row r="215" spans="1:8" ht="24.75" customHeight="1" hidden="1" outlineLevel="5">
      <c r="A215" s="44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7">
        <f>'Приложение 3'!G216</f>
        <v>0</v>
      </c>
      <c r="G215" s="57">
        <f>'Приложение 3'!H216</f>
        <v>0</v>
      </c>
      <c r="H215" s="63" t="e">
        <f t="shared" si="3"/>
        <v>#DIV/0!</v>
      </c>
    </row>
    <row r="216" spans="1:8" ht="24" outlineLevel="5">
      <c r="A216" s="44" t="str">
        <f>'Приложение 3'!A217</f>
        <v>За счет средств на расходы на осуществление социальных гарантий молодым специалистам</v>
      </c>
      <c r="B216" s="72" t="str">
        <f>'Приложение 3'!C217</f>
        <v>0702</v>
      </c>
      <c r="C216" s="72" t="str">
        <f>'Приложение 3'!D217</f>
        <v>53</v>
      </c>
      <c r="D216" s="72">
        <f>'Приложение 3'!E217</f>
        <v>2</v>
      </c>
      <c r="E216" s="72">
        <f>'Приложение 3'!F217</f>
        <v>600</v>
      </c>
      <c r="F216" s="57">
        <f>'Приложение 3'!G217</f>
        <v>281.32660999999996</v>
      </c>
      <c r="G216" s="57">
        <f>'Приложение 3'!H217</f>
        <v>156.72661</v>
      </c>
      <c r="H216" s="63">
        <f t="shared" si="3"/>
        <v>55.709842023120395</v>
      </c>
    </row>
    <row r="217" spans="1:8" ht="14.25" customHeight="1" outlineLevel="5">
      <c r="A217" s="44" t="str">
        <f>'Приложение 3'!A218</f>
        <v>Дополнительное образование детей</v>
      </c>
      <c r="B217" s="72" t="str">
        <f>'Приложение 3'!C218</f>
        <v>0703</v>
      </c>
      <c r="C217" s="72"/>
      <c r="D217" s="72"/>
      <c r="E217" s="72"/>
      <c r="F217" s="57">
        <f>'Приложение 3'!G218</f>
        <v>11039.139210000001</v>
      </c>
      <c r="G217" s="57">
        <f>'Приложение 3'!H218</f>
        <v>11039.139210000001</v>
      </c>
      <c r="H217" s="63">
        <f t="shared" si="3"/>
        <v>100</v>
      </c>
    </row>
    <row r="218" spans="1:8" ht="2.25" customHeight="1" hidden="1" outlineLevel="5">
      <c r="A218" s="44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2" t="str">
        <f>'Приложение 3'!C219</f>
        <v>0703</v>
      </c>
      <c r="C218" s="72" t="str">
        <f>'Приложение 3'!D219</f>
        <v>02</v>
      </c>
      <c r="D218" s="72">
        <f>'Приложение 3'!E219</f>
        <v>0</v>
      </c>
      <c r="E218" s="72"/>
      <c r="F218" s="57">
        <f>'Приложение 3'!G219</f>
        <v>0</v>
      </c>
      <c r="G218" s="57">
        <f>'Приложение 3'!H219</f>
        <v>0</v>
      </c>
      <c r="H218" s="63" t="e">
        <f t="shared" si="3"/>
        <v>#DIV/0!</v>
      </c>
    </row>
    <row r="219" spans="1:8" ht="42" customHeight="1" hidden="1" outlineLevel="5">
      <c r="A219" s="44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2" t="str">
        <f>'Приложение 3'!C220</f>
        <v>0703</v>
      </c>
      <c r="C219" s="72" t="str">
        <f>'Приложение 3'!D220</f>
        <v>02</v>
      </c>
      <c r="D219" s="72">
        <f>'Приложение 3'!E220</f>
        <v>3</v>
      </c>
      <c r="E219" s="72"/>
      <c r="F219" s="57">
        <f>'Приложение 3'!G220</f>
        <v>0</v>
      </c>
      <c r="G219" s="57">
        <f>'Приложение 3'!H220</f>
        <v>0</v>
      </c>
      <c r="H219" s="63" t="e">
        <f t="shared" si="3"/>
        <v>#DIV/0!</v>
      </c>
    </row>
    <row r="220" spans="1:8" ht="24" hidden="1" outlineLevel="5">
      <c r="A220" s="44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2" t="str">
        <f>'Приложение 3'!C221</f>
        <v>0703</v>
      </c>
      <c r="C220" s="72" t="str">
        <f>'Приложение 3'!D221</f>
        <v>02</v>
      </c>
      <c r="D220" s="72">
        <f>'Приложение 3'!E221</f>
        <v>3</v>
      </c>
      <c r="E220" s="72">
        <f>'Приложение 3'!F221</f>
        <v>600</v>
      </c>
      <c r="F220" s="57">
        <f>'Приложение 3'!G221</f>
        <v>0</v>
      </c>
      <c r="G220" s="57">
        <f>'Приложение 3'!H221</f>
        <v>0</v>
      </c>
      <c r="H220" s="63" t="e">
        <f t="shared" si="3"/>
        <v>#DIV/0!</v>
      </c>
    </row>
    <row r="221" spans="1:8" ht="37.5" customHeight="1" outlineLevel="5">
      <c r="A221" s="44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2" t="str">
        <f>'Приложение 3'!C222</f>
        <v>0703</v>
      </c>
      <c r="C221" s="72" t="str">
        <f>'Приложение 3'!D222</f>
        <v>53</v>
      </c>
      <c r="D221" s="72">
        <f>'Приложение 3'!E222</f>
        <v>0</v>
      </c>
      <c r="E221" s="72"/>
      <c r="F221" s="57">
        <f>'Приложение 3'!G222</f>
        <v>11039.139210000001</v>
      </c>
      <c r="G221" s="57">
        <f>'Приложение 3'!H222</f>
        <v>11039.139210000001</v>
      </c>
      <c r="H221" s="63">
        <f t="shared" si="3"/>
        <v>100</v>
      </c>
    </row>
    <row r="222" spans="1:8" ht="15" customHeight="1" outlineLevel="5">
      <c r="A222" s="44" t="str">
        <f>'Приложение 3'!A223</f>
        <v>Подпрограмма "Развитие дополнительного образования детей"</v>
      </c>
      <c r="B222" s="72" t="str">
        <f>'Приложение 3'!C223</f>
        <v>0703</v>
      </c>
      <c r="C222" s="72" t="str">
        <f>'Приложение 3'!D223</f>
        <v>53</v>
      </c>
      <c r="D222" s="72">
        <f>'Приложение 3'!E223</f>
        <v>3</v>
      </c>
      <c r="E222" s="72" t="s">
        <v>9</v>
      </c>
      <c r="F222" s="57">
        <f>'Приложение 3'!G223</f>
        <v>11039.139210000001</v>
      </c>
      <c r="G222" s="57">
        <f>'Приложение 3'!H223</f>
        <v>11039.139210000001</v>
      </c>
      <c r="H222" s="63">
        <f t="shared" si="3"/>
        <v>100</v>
      </c>
    </row>
    <row r="223" spans="1:8" ht="24" outlineLevel="5">
      <c r="A223" s="44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2" t="str">
        <f>'Приложение 3'!C224</f>
        <v>0703</v>
      </c>
      <c r="C223" s="72" t="str">
        <f>'Приложение 3'!D224</f>
        <v>53</v>
      </c>
      <c r="D223" s="72">
        <f>'Приложение 3'!E224</f>
        <v>3</v>
      </c>
      <c r="E223" s="72">
        <f>'Приложение 3'!F224</f>
        <v>600</v>
      </c>
      <c r="F223" s="57">
        <f>'Приложение 3'!G224</f>
        <v>6188.391790000001</v>
      </c>
      <c r="G223" s="57">
        <f>'Приложение 3'!H224</f>
        <v>6188.391790000001</v>
      </c>
      <c r="H223" s="63">
        <f t="shared" si="3"/>
        <v>100</v>
      </c>
    </row>
    <row r="224" spans="1:8" ht="39.75" customHeight="1" outlineLevel="5">
      <c r="A224" s="44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2" t="str">
        <f>'Приложение 3'!C225</f>
        <v>0703</v>
      </c>
      <c r="C224" s="72" t="str">
        <f>'Приложение 3'!D225</f>
        <v>53</v>
      </c>
      <c r="D224" s="72">
        <f>'Приложение 3'!E225</f>
        <v>3</v>
      </c>
      <c r="E224" s="72">
        <f>'Приложение 3'!F225</f>
        <v>600</v>
      </c>
      <c r="F224" s="57">
        <f>'Приложение 3'!G225</f>
        <v>4850.747420000001</v>
      </c>
      <c r="G224" s="57">
        <f>'Приложение 3'!H225</f>
        <v>4850.747420000001</v>
      </c>
      <c r="H224" s="63">
        <f t="shared" si="3"/>
        <v>100</v>
      </c>
    </row>
    <row r="225" spans="1:8" ht="12.75" outlineLevel="5">
      <c r="A225" s="44" t="str">
        <f>'Приложение 3'!A226</f>
        <v>Молодежная политика </v>
      </c>
      <c r="B225" s="72" t="str">
        <f>'Приложение 3'!C226</f>
        <v>0707</v>
      </c>
      <c r="C225" s="72">
        <f>'Приложение 3'!D226</f>
      </c>
      <c r="D225" s="72">
        <f>'Приложение 3'!E226</f>
      </c>
      <c r="E225" s="72"/>
      <c r="F225" s="57">
        <f>'Приложение 3'!G226</f>
        <v>7294.855039999999</v>
      </c>
      <c r="G225" s="57">
        <f>'Приложение 3'!H226</f>
        <v>6939.475039999999</v>
      </c>
      <c r="H225" s="63">
        <f t="shared" si="3"/>
        <v>95.12834733450715</v>
      </c>
    </row>
    <row r="226" spans="1:8" ht="25.5" customHeight="1" outlineLevel="5">
      <c r="A226" s="44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2" t="str">
        <f>'Приложение 3'!C227</f>
        <v>0707</v>
      </c>
      <c r="C226" s="72" t="str">
        <f>'Приложение 3'!D227</f>
        <v>07</v>
      </c>
      <c r="D226" s="72">
        <f>'Приложение 3'!E227</f>
        <v>0</v>
      </c>
      <c r="E226" s="72"/>
      <c r="F226" s="57">
        <f>'Приложение 3'!G227</f>
        <v>100</v>
      </c>
      <c r="G226" s="57">
        <f>'Приложение 3'!H227</f>
        <v>100</v>
      </c>
      <c r="H226" s="63">
        <f t="shared" si="3"/>
        <v>100</v>
      </c>
    </row>
    <row r="227" spans="1:8" ht="24" outlineLevel="5">
      <c r="A227" s="44" t="str">
        <f>'Приложение 3'!A228</f>
        <v>Подпрограмма "Комплексные меры по противодействию наркомании"</v>
      </c>
      <c r="B227" s="72" t="str">
        <f>'Приложение 3'!C228</f>
        <v>0707</v>
      </c>
      <c r="C227" s="72" t="str">
        <f>'Приложение 3'!D228</f>
        <v>07</v>
      </c>
      <c r="D227" s="72">
        <f>'Приложение 3'!E228</f>
        <v>1</v>
      </c>
      <c r="E227" s="72"/>
      <c r="F227" s="57">
        <f>'Приложение 3'!G228</f>
        <v>30</v>
      </c>
      <c r="G227" s="57">
        <f>'Приложение 3'!H228</f>
        <v>30</v>
      </c>
      <c r="H227" s="63">
        <f t="shared" si="3"/>
        <v>100</v>
      </c>
    </row>
    <row r="228" spans="1:8" ht="27" customHeight="1" outlineLevel="5">
      <c r="A228" s="44" t="str">
        <f>'Приложение 3'!A229</f>
        <v>Закупка товаров, работ и услуг для государственных (муниципальных) нужд</v>
      </c>
      <c r="B228" s="72" t="str">
        <f>'Приложение 3'!C229</f>
        <v>0707</v>
      </c>
      <c r="C228" s="72" t="str">
        <f>'Приложение 3'!D229</f>
        <v>07</v>
      </c>
      <c r="D228" s="72">
        <f>'Приложение 3'!E229</f>
        <v>1</v>
      </c>
      <c r="E228" s="72">
        <f>'Приложение 3'!F229</f>
        <v>200</v>
      </c>
      <c r="F228" s="57">
        <f>'Приложение 3'!G229</f>
        <v>30</v>
      </c>
      <c r="G228" s="57">
        <f>'Приложение 3'!H229</f>
        <v>30</v>
      </c>
      <c r="H228" s="63">
        <f t="shared" si="3"/>
        <v>100</v>
      </c>
    </row>
    <row r="229" spans="1:8" ht="24" outlineLevel="5">
      <c r="A229" s="44" t="str">
        <f>'Приложение 3'!A230</f>
        <v>Подпрограмма "Реализация мероприятий молодежной политики и социальной адаптации молодежи "</v>
      </c>
      <c r="B229" s="72" t="str">
        <f>'Приложение 3'!C230</f>
        <v>0707</v>
      </c>
      <c r="C229" s="72" t="str">
        <f>'Приложение 3'!D230</f>
        <v>07</v>
      </c>
      <c r="D229" s="72">
        <f>'Приложение 3'!E230</f>
        <v>2</v>
      </c>
      <c r="E229" s="72"/>
      <c r="F229" s="57">
        <f>'Приложение 3'!G230</f>
        <v>40</v>
      </c>
      <c r="G229" s="57">
        <f>'Приложение 3'!H230</f>
        <v>40</v>
      </c>
      <c r="H229" s="63">
        <f t="shared" si="3"/>
        <v>100</v>
      </c>
    </row>
    <row r="230" spans="1:8" ht="24" customHeight="1" outlineLevel="5">
      <c r="A230" s="44" t="str">
        <f>'Приложение 3'!A231</f>
        <v>Закупка товаров, работ и услуг для государственных (муниципальных) нужд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2</v>
      </c>
      <c r="E230" s="72">
        <f>'Приложение 3'!F231</f>
        <v>200</v>
      </c>
      <c r="F230" s="57">
        <f>'Приложение 3'!G231</f>
        <v>40</v>
      </c>
      <c r="G230" s="57">
        <f>'Приложение 3'!H231</f>
        <v>40</v>
      </c>
      <c r="H230" s="63">
        <f t="shared" si="3"/>
        <v>100</v>
      </c>
    </row>
    <row r="231" spans="1:8" ht="24" outlineLevel="5">
      <c r="A231" s="44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3</v>
      </c>
      <c r="E231" s="72"/>
      <c r="F231" s="57">
        <f>'Приложение 3'!G232</f>
        <v>30</v>
      </c>
      <c r="G231" s="57">
        <f>'Приложение 3'!H232</f>
        <v>30</v>
      </c>
      <c r="H231" s="63">
        <f t="shared" si="3"/>
        <v>100</v>
      </c>
    </row>
    <row r="232" spans="1:8" ht="24" outlineLevel="5">
      <c r="A232" s="44" t="str">
        <f>'Приложение 3'!A233</f>
        <v>Закупка товаров, работ и услуг для государственных (муниципальных) нужд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3</v>
      </c>
      <c r="E232" s="72">
        <f>'Приложение 3'!F233</f>
        <v>200</v>
      </c>
      <c r="F232" s="57">
        <f>'Приложение 3'!G233</f>
        <v>30</v>
      </c>
      <c r="G232" s="57">
        <f>'Приложение 3'!H233</f>
        <v>30</v>
      </c>
      <c r="H232" s="63">
        <f t="shared" si="3"/>
        <v>100</v>
      </c>
    </row>
    <row r="233" spans="1:8" ht="24" hidden="1" outlineLevel="5">
      <c r="A233" s="44" t="str">
        <f>'Приложение 3'!A234</f>
        <v>Закупка товаров, работ и услуг для государственных (муниципальных) нужд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3</v>
      </c>
      <c r="E233" s="72">
        <f>'Приложение 3'!F234</f>
        <v>200</v>
      </c>
      <c r="F233" s="57">
        <f>'Приложение 3'!G234</f>
        <v>0</v>
      </c>
      <c r="G233" s="57">
        <f>'Приложение 3'!H234</f>
        <v>0</v>
      </c>
      <c r="H233" s="63" t="e">
        <f t="shared" si="3"/>
        <v>#DIV/0!</v>
      </c>
    </row>
    <row r="234" spans="1:8" ht="31.5" customHeight="1" hidden="1" outlineLevel="5">
      <c r="A234" s="44" t="str">
        <f>'Приложение 3'!A235</f>
        <v>Закупка товаров, работ и услуг для государственных (муниципальных) нужд</v>
      </c>
      <c r="B234" s="72" t="str">
        <f>'Приложение 3'!C235</f>
        <v>0707</v>
      </c>
      <c r="C234" s="72" t="str">
        <f>'Приложение 3'!D235</f>
        <v>07</v>
      </c>
      <c r="D234" s="72">
        <f>'Приложение 3'!E235</f>
        <v>3</v>
      </c>
      <c r="E234" s="72">
        <f>'Приложение 3'!F235</f>
        <v>200</v>
      </c>
      <c r="F234" s="57">
        <f>'Приложение 3'!G235</f>
        <v>0</v>
      </c>
      <c r="G234" s="57">
        <f>'Приложение 3'!H235</f>
        <v>0</v>
      </c>
      <c r="H234" s="63" t="e">
        <f t="shared" si="3"/>
        <v>#DIV/0!</v>
      </c>
    </row>
    <row r="235" spans="1:8" ht="39.75" customHeight="1" outlineLevel="5">
      <c r="A235" s="44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2" t="str">
        <f>'Приложение 3'!C236</f>
        <v>0707</v>
      </c>
      <c r="C235" s="72" t="str">
        <f>'Приложение 3'!D236</f>
        <v>56</v>
      </c>
      <c r="D235" s="72">
        <f>'Приложение 3'!E236</f>
        <v>0</v>
      </c>
      <c r="E235" s="72"/>
      <c r="F235" s="57">
        <f>'Приложение 3'!G236</f>
        <v>5073.675039999999</v>
      </c>
      <c r="G235" s="57">
        <f>'Приложение 3'!H236</f>
        <v>5073.675039999999</v>
      </c>
      <c r="H235" s="63">
        <f t="shared" si="3"/>
        <v>100</v>
      </c>
    </row>
    <row r="236" spans="1:8" ht="29.25" customHeight="1" outlineLevel="5">
      <c r="A236" s="44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2" t="str">
        <f>'Приложение 3'!C237</f>
        <v>0707</v>
      </c>
      <c r="C236" s="72" t="str">
        <f>'Приложение 3'!D237</f>
        <v>56</v>
      </c>
      <c r="D236" s="72">
        <f>'Приложение 3'!E237</f>
        <v>0</v>
      </c>
      <c r="E236" s="72">
        <f>'Приложение 3'!F237</f>
        <v>600</v>
      </c>
      <c r="F236" s="57">
        <f>'Приложение 3'!G237</f>
        <v>5073.675039999999</v>
      </c>
      <c r="G236" s="57">
        <f>'Приложение 3'!H237</f>
        <v>5073.675039999999</v>
      </c>
      <c r="H236" s="63">
        <f t="shared" si="3"/>
        <v>100</v>
      </c>
    </row>
    <row r="237" spans="1:8" ht="20.25" customHeight="1" outlineLevel="5">
      <c r="A237" s="44" t="str">
        <f>'Приложение 3'!A238</f>
        <v>Организация отдыха детей в лагерях дневного пребывания</v>
      </c>
      <c r="B237" s="72" t="str">
        <f>'Приложение 3'!C238</f>
        <v>0707</v>
      </c>
      <c r="C237" s="72" t="str">
        <f>'Приложение 3'!D238</f>
        <v>99</v>
      </c>
      <c r="D237" s="72"/>
      <c r="E237" s="72"/>
      <c r="F237" s="57">
        <f>'Приложение 3'!G238</f>
        <v>2121.18</v>
      </c>
      <c r="G237" s="57">
        <f>'Приложение 3'!H238</f>
        <v>1765.7999999999997</v>
      </c>
      <c r="H237" s="63">
        <f t="shared" si="3"/>
        <v>83.24611772692558</v>
      </c>
    </row>
    <row r="238" spans="1:8" ht="24.75" customHeight="1" outlineLevel="5">
      <c r="A238" s="44" t="str">
        <f>'Приложение 3'!A239</f>
        <v>Непрограммные расходы органов местного самоуправления Алексеевского муниципального района</v>
      </c>
      <c r="B238" s="72" t="str">
        <f>'Приложение 3'!C239</f>
        <v>0707</v>
      </c>
      <c r="C238" s="72" t="str">
        <f>'Приложение 3'!D239</f>
        <v>99</v>
      </c>
      <c r="D238" s="72"/>
      <c r="E238" s="72"/>
      <c r="F238" s="57">
        <f>'Приложение 3'!G239</f>
        <v>2121.18</v>
      </c>
      <c r="G238" s="57">
        <f>'Приложение 3'!H239</f>
        <v>1765.7999999999997</v>
      </c>
      <c r="H238" s="63">
        <f t="shared" si="3"/>
        <v>83.24611772692558</v>
      </c>
    </row>
    <row r="239" spans="1:8" ht="36" outlineLevel="5">
      <c r="A239" s="44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2" t="str">
        <f>'Приложение 3'!C240</f>
        <v>0707</v>
      </c>
      <c r="C239" s="72" t="str">
        <f>'Приложение 3'!D240</f>
        <v>99</v>
      </c>
      <c r="D239" s="72">
        <f>'Приложение 3'!E240</f>
        <v>0</v>
      </c>
      <c r="E239" s="72">
        <f>'Приложение 3'!F240</f>
        <v>600</v>
      </c>
      <c r="F239" s="57">
        <f>'Приложение 3'!G240</f>
        <v>1944.6</v>
      </c>
      <c r="G239" s="57">
        <f>'Приложение 3'!H240</f>
        <v>1589.2199999999998</v>
      </c>
      <c r="H239" s="63">
        <f t="shared" si="3"/>
        <v>81.72477630360999</v>
      </c>
    </row>
    <row r="240" spans="1:8" ht="27.75" customHeight="1" outlineLevel="5">
      <c r="A240" s="44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2" t="str">
        <f>'Приложение 3'!C241</f>
        <v>0707</v>
      </c>
      <c r="C240" s="72" t="str">
        <f>'Приложение 3'!D241</f>
        <v>99</v>
      </c>
      <c r="D240" s="72">
        <f>'Приложение 3'!E241</f>
        <v>0</v>
      </c>
      <c r="E240" s="72">
        <f>'Приложение 3'!F241</f>
        <v>600</v>
      </c>
      <c r="F240" s="57">
        <f>'Приложение 3'!G241</f>
        <v>176.58</v>
      </c>
      <c r="G240" s="57">
        <f>'Приложение 3'!H241</f>
        <v>176.58</v>
      </c>
      <c r="H240" s="63">
        <f t="shared" si="3"/>
        <v>100</v>
      </c>
    </row>
    <row r="241" spans="1:8" ht="15.75" customHeight="1" outlineLevel="5">
      <c r="A241" s="44" t="str">
        <f>'Приложение 3'!A242</f>
        <v>Другие вопросы в области образования</v>
      </c>
      <c r="B241" s="72" t="str">
        <f>'Приложение 3'!C242</f>
        <v>0709</v>
      </c>
      <c r="C241" s="72"/>
      <c r="D241" s="72"/>
      <c r="E241" s="72"/>
      <c r="F241" s="57">
        <f>'Приложение 3'!G242</f>
        <v>1413.10576</v>
      </c>
      <c r="G241" s="57">
        <f>'Приложение 3'!H242</f>
        <v>1413.10576</v>
      </c>
      <c r="H241" s="63">
        <f t="shared" si="3"/>
        <v>100</v>
      </c>
    </row>
    <row r="242" spans="1:8" ht="61.5" customHeight="1" outlineLevel="5">
      <c r="A242" s="44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2" t="str">
        <f>'Приложение 3'!C243</f>
        <v>0709</v>
      </c>
      <c r="C242" s="72" t="str">
        <f>'Приложение 3'!D243</f>
        <v>08</v>
      </c>
      <c r="D242" s="72">
        <f>'Приложение 3'!E243</f>
        <v>0</v>
      </c>
      <c r="E242" s="72"/>
      <c r="F242" s="57">
        <f>'Приложение 3'!G243</f>
        <v>0</v>
      </c>
      <c r="G242" s="57">
        <f>'Приложение 3'!H243</f>
        <v>0</v>
      </c>
      <c r="H242" s="63" t="e">
        <f t="shared" si="3"/>
        <v>#DIV/0!</v>
      </c>
    </row>
    <row r="243" spans="1:8" ht="12.75" outlineLevel="2">
      <c r="A243" s="44" t="str">
        <f>'Приложение 3'!A244</f>
        <v>Социальное обеспечение и иные выплаты населению</v>
      </c>
      <c r="B243" s="72" t="str">
        <f>'Приложение 3'!C244</f>
        <v>0709</v>
      </c>
      <c r="C243" s="72" t="str">
        <f>'Приложение 3'!D244</f>
        <v>08</v>
      </c>
      <c r="D243" s="72">
        <f>'Приложение 3'!E244</f>
        <v>0</v>
      </c>
      <c r="E243" s="72" t="s">
        <v>202</v>
      </c>
      <c r="F243" s="57">
        <f>'Приложение 3'!G244</f>
        <v>0</v>
      </c>
      <c r="G243" s="57">
        <f>'Приложение 3'!H244</f>
        <v>0</v>
      </c>
      <c r="H243" s="63" t="e">
        <f t="shared" si="3"/>
        <v>#DIV/0!</v>
      </c>
    </row>
    <row r="244" spans="1:8" ht="48" outlineLevel="3">
      <c r="A244" s="44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2" t="str">
        <f>'Приложение 3'!C245</f>
        <v>0709</v>
      </c>
      <c r="C244" s="72" t="str">
        <f>'Приложение 3'!D245</f>
        <v>58</v>
      </c>
      <c r="D244" s="72">
        <f>'Приложение 3'!E245</f>
        <v>0</v>
      </c>
      <c r="E244" s="72"/>
      <c r="F244" s="57">
        <f>'Приложение 3'!G245</f>
        <v>1413.10576</v>
      </c>
      <c r="G244" s="57">
        <f>'Приложение 3'!H245</f>
        <v>1413.10576</v>
      </c>
      <c r="H244" s="63">
        <f t="shared" si="3"/>
        <v>100</v>
      </c>
    </row>
    <row r="245" spans="1:8" ht="48" outlineLevel="3">
      <c r="A245" s="44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2" t="str">
        <f>'Приложение 3'!C246</f>
        <v>0709</v>
      </c>
      <c r="C245" s="72" t="str">
        <f>'Приложение 3'!D246</f>
        <v>58</v>
      </c>
      <c r="D245" s="72">
        <f>'Приложение 3'!E246</f>
        <v>0</v>
      </c>
      <c r="E245" s="72">
        <f>'Приложение 3'!F246</f>
        <v>100</v>
      </c>
      <c r="F245" s="57">
        <f>'Приложение 3'!G246</f>
        <v>1413.10576</v>
      </c>
      <c r="G245" s="57">
        <f>'Приложение 3'!H246</f>
        <v>1413.10576</v>
      </c>
      <c r="H245" s="63">
        <f t="shared" si="3"/>
        <v>100</v>
      </c>
    </row>
    <row r="246" spans="1:8" ht="15" customHeight="1" outlineLevel="3">
      <c r="A246" s="44" t="str">
        <f>'Приложение 3'!A247</f>
        <v>Закупка товаров, работ и услуг для государственных (муниципальных) нужд</v>
      </c>
      <c r="B246" s="72" t="str">
        <f>'Приложение 3'!C247</f>
        <v>0709</v>
      </c>
      <c r="C246" s="72" t="str">
        <f>'Приложение 3'!D247</f>
        <v>58</v>
      </c>
      <c r="D246" s="72">
        <f>'Приложение 3'!E247</f>
        <v>0</v>
      </c>
      <c r="E246" s="72">
        <f>'Приложение 3'!F247</f>
        <v>200</v>
      </c>
      <c r="F246" s="57">
        <f>'Приложение 3'!G247</f>
        <v>0</v>
      </c>
      <c r="G246" s="57">
        <f>'Приложение 3'!H247</f>
        <v>0</v>
      </c>
      <c r="H246" s="63">
        <v>0</v>
      </c>
    </row>
    <row r="247" spans="1:8" ht="12.75" hidden="1" outlineLevel="3">
      <c r="A247" s="44" t="str">
        <f>'Приложение 3'!A248</f>
        <v>Иные бюджетные ассигнования</v>
      </c>
      <c r="B247" s="72" t="str">
        <f>'Приложение 3'!C248</f>
        <v>0709</v>
      </c>
      <c r="C247" s="72" t="str">
        <f>'Приложение 3'!D248</f>
        <v>58</v>
      </c>
      <c r="D247" s="72">
        <f>'Приложение 3'!E248</f>
        <v>0</v>
      </c>
      <c r="E247" s="72">
        <f>'Приложение 3'!F248</f>
        <v>800</v>
      </c>
      <c r="F247" s="57">
        <f>'Приложение 3'!G248</f>
        <v>0</v>
      </c>
      <c r="G247" s="57">
        <f>'Приложение 3'!H248</f>
        <v>0</v>
      </c>
      <c r="H247" s="63" t="e">
        <f t="shared" si="3"/>
        <v>#DIV/0!</v>
      </c>
    </row>
    <row r="248" spans="1:8" ht="12.75" outlineLevel="3">
      <c r="A248" s="44" t="str">
        <f>'Приложение 3'!A249</f>
        <v>Культура, кинематография </v>
      </c>
      <c r="B248" s="72" t="str">
        <f>'Приложение 3'!C249</f>
        <v>0800</v>
      </c>
      <c r="C248" s="72"/>
      <c r="D248" s="72"/>
      <c r="E248" s="72"/>
      <c r="F248" s="57">
        <f>'Приложение 3'!G249</f>
        <v>38395.530119999996</v>
      </c>
      <c r="G248" s="57">
        <f>'Приложение 3'!H249</f>
        <v>38395.530119999996</v>
      </c>
      <c r="H248" s="63">
        <f t="shared" si="3"/>
        <v>100</v>
      </c>
    </row>
    <row r="249" spans="1:8" ht="12" customHeight="1" outlineLevel="3">
      <c r="A249" s="44" t="str">
        <f>'Приложение 3'!A250</f>
        <v>Культура</v>
      </c>
      <c r="B249" s="72" t="str">
        <f>'Приложение 3'!C250</f>
        <v>0801</v>
      </c>
      <c r="C249" s="72"/>
      <c r="D249" s="72"/>
      <c r="E249" s="72"/>
      <c r="F249" s="57">
        <f>'Приложение 3'!G250</f>
        <v>35738.03941</v>
      </c>
      <c r="G249" s="57">
        <f>'Приложение 3'!H250</f>
        <v>35738.03941</v>
      </c>
      <c r="H249" s="63">
        <f t="shared" si="3"/>
        <v>100</v>
      </c>
    </row>
    <row r="250" spans="1:8" ht="39" customHeight="1" outlineLevel="3">
      <c r="A250" s="44" t="str">
        <f>'Приложение 3'!A251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0" s="72" t="str">
        <f>'Приложение 3'!C251</f>
        <v>0801</v>
      </c>
      <c r="C250" s="72" t="str">
        <f>'Приложение 3'!D251</f>
        <v>02</v>
      </c>
      <c r="D250" s="72">
        <f>'Приложение 3'!E251</f>
        <v>0</v>
      </c>
      <c r="E250" s="72"/>
      <c r="F250" s="57">
        <f>'Приложение 3'!G251</f>
        <v>1676.1205</v>
      </c>
      <c r="G250" s="57">
        <f>'Приложение 3'!H251</f>
        <v>1676.1205</v>
      </c>
      <c r="H250" s="63">
        <f t="shared" si="3"/>
        <v>100</v>
      </c>
    </row>
    <row r="251" spans="1:8" ht="33" customHeight="1" outlineLevel="3">
      <c r="A251" s="44" t="str">
        <f>'Приложение 3'!A252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1" s="72" t="str">
        <f>'Приложение 3'!C252</f>
        <v>0801</v>
      </c>
      <c r="C251" s="72" t="str">
        <f>'Приложение 3'!D252</f>
        <v>02</v>
      </c>
      <c r="D251" s="72">
        <f>'Приложение 3'!E252</f>
        <v>3</v>
      </c>
      <c r="E251" s="72"/>
      <c r="F251" s="57">
        <f>'Приложение 3'!G252</f>
        <v>1676.1205</v>
      </c>
      <c r="G251" s="57">
        <f>'Приложение 3'!H252</f>
        <v>1676.1205</v>
      </c>
      <c r="H251" s="63">
        <f t="shared" si="3"/>
        <v>100</v>
      </c>
    </row>
    <row r="252" spans="1:8" ht="30" customHeight="1" outlineLevel="3">
      <c r="A252" s="44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2" t="str">
        <f>'Приложение 3'!C253</f>
        <v>0801</v>
      </c>
      <c r="C252" s="72" t="str">
        <f>'Приложение 3'!D253</f>
        <v>02</v>
      </c>
      <c r="D252" s="72">
        <f>'Приложение 3'!E253</f>
        <v>3</v>
      </c>
      <c r="E252" s="72" t="s">
        <v>170</v>
      </c>
      <c r="F252" s="57">
        <f>'Приложение 3'!G253</f>
        <v>1676.1205</v>
      </c>
      <c r="G252" s="57">
        <f>'Приложение 3'!H253</f>
        <v>1676.1205</v>
      </c>
      <c r="H252" s="63">
        <f t="shared" si="3"/>
        <v>100</v>
      </c>
    </row>
    <row r="253" spans="1:8" ht="24" outlineLevel="3">
      <c r="A253" s="44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253" s="72" t="str">
        <f>'Приложение 3'!C254</f>
        <v>0801</v>
      </c>
      <c r="C253" s="72" t="str">
        <f>'Приложение 3'!D254</f>
        <v>06</v>
      </c>
      <c r="D253" s="72">
        <f>'Приложение 3'!E254</f>
        <v>0</v>
      </c>
      <c r="E253" s="72"/>
      <c r="F253" s="57">
        <f>'Приложение 3'!G254</f>
        <v>20202.03</v>
      </c>
      <c r="G253" s="57">
        <f>'Приложение 3'!H254</f>
        <v>20202.03</v>
      </c>
      <c r="H253" s="63">
        <f t="shared" si="3"/>
        <v>100</v>
      </c>
    </row>
    <row r="254" spans="1:8" ht="24" outlineLevel="3">
      <c r="A254" s="44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2" t="str">
        <f>'Приложение 3'!C255</f>
        <v>0801</v>
      </c>
      <c r="C254" s="72" t="str">
        <f>'Приложение 3'!D255</f>
        <v>06</v>
      </c>
      <c r="D254" s="72">
        <f>'Приложение 3'!E255</f>
        <v>0</v>
      </c>
      <c r="E254" s="72">
        <f>'Приложение 3'!F255</f>
        <v>600</v>
      </c>
      <c r="F254" s="57">
        <f>'Приложение 3'!G255</f>
        <v>20000</v>
      </c>
      <c r="G254" s="57">
        <f>'Приложение 3'!H255</f>
        <v>20000</v>
      </c>
      <c r="H254" s="63">
        <f t="shared" si="3"/>
        <v>100</v>
      </c>
    </row>
    <row r="255" spans="1:8" ht="86.25" customHeight="1" outlineLevel="3">
      <c r="A255" s="44" t="str">
        <f>'Приложение 3'!A256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v>
      </c>
      <c r="B255" s="72" t="str">
        <f>'Приложение 3'!C256</f>
        <v>0801</v>
      </c>
      <c r="C255" s="72" t="str">
        <f>'Приложение 3'!D256</f>
        <v>06</v>
      </c>
      <c r="D255" s="72">
        <f>'Приложение 3'!E256</f>
        <v>0</v>
      </c>
      <c r="E255" s="72">
        <f>'Приложение 3'!F256</f>
        <v>600</v>
      </c>
      <c r="F255" s="57">
        <f>'Приложение 3'!G256</f>
        <v>202.03</v>
      </c>
      <c r="G255" s="57">
        <f>'Приложение 3'!H256</f>
        <v>202.03</v>
      </c>
      <c r="H255" s="63">
        <f t="shared" si="3"/>
        <v>100</v>
      </c>
    </row>
    <row r="256" spans="1:8" ht="38.25" customHeight="1" outlineLevel="3">
      <c r="A256" s="44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256" s="72" t="str">
        <f>'Приложение 3'!C257</f>
        <v>0801</v>
      </c>
      <c r="C256" s="72" t="str">
        <f>'Приложение 3'!D257</f>
        <v>12</v>
      </c>
      <c r="D256" s="72">
        <f>'Приложение 3'!E257</f>
        <v>0</v>
      </c>
      <c r="E256" s="72"/>
      <c r="F256" s="57">
        <f>'Приложение 3'!G257</f>
        <v>50</v>
      </c>
      <c r="G256" s="57">
        <f>'Приложение 3'!H257</f>
        <v>50</v>
      </c>
      <c r="H256" s="63">
        <f t="shared" si="3"/>
        <v>100</v>
      </c>
    </row>
    <row r="257" spans="1:8" ht="26.25" customHeight="1" outlineLevel="3">
      <c r="A257" s="44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2" t="str">
        <f>'Приложение 3'!C258</f>
        <v>0801</v>
      </c>
      <c r="C257" s="72" t="str">
        <f>'Приложение 3'!D258</f>
        <v>12</v>
      </c>
      <c r="D257" s="72">
        <f>'Приложение 3'!E258</f>
        <v>0</v>
      </c>
      <c r="E257" s="72">
        <f>'Приложение 3'!F258</f>
        <v>600</v>
      </c>
      <c r="F257" s="57">
        <f>'Приложение 3'!G258</f>
        <v>50</v>
      </c>
      <c r="G257" s="57">
        <f>'Приложение 3'!H258</f>
        <v>50</v>
      </c>
      <c r="H257" s="63">
        <f t="shared" si="3"/>
        <v>100</v>
      </c>
    </row>
    <row r="258" spans="1:8" ht="36" outlineLevel="3">
      <c r="A258" s="44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258" s="72" t="str">
        <f>'Приложение 3'!C259</f>
        <v>0801</v>
      </c>
      <c r="C258" s="72" t="str">
        <f>'Приложение 3'!D259</f>
        <v>13</v>
      </c>
      <c r="D258" s="72">
        <f>'Приложение 3'!E259</f>
        <v>0</v>
      </c>
      <c r="E258" s="72"/>
      <c r="F258" s="57">
        <f>'Приложение 3'!G259</f>
        <v>37</v>
      </c>
      <c r="G258" s="57">
        <f>'Приложение 3'!H259</f>
        <v>37</v>
      </c>
      <c r="H258" s="63">
        <f t="shared" si="3"/>
        <v>100</v>
      </c>
    </row>
    <row r="259" spans="1:8" ht="24" outlineLevel="3">
      <c r="A259" s="44" t="str">
        <f>'Приложение 3'!A260</f>
        <v>Предоставление субсидий бюджетным, автономным учреждениям и иным некоммерческим организациям</v>
      </c>
      <c r="B259" s="72" t="str">
        <f>'Приложение 3'!C260</f>
        <v>0801</v>
      </c>
      <c r="C259" s="72" t="str">
        <f>'Приложение 3'!D260</f>
        <v>13</v>
      </c>
      <c r="D259" s="72">
        <f>'Приложение 3'!E260</f>
        <v>0</v>
      </c>
      <c r="E259" s="72">
        <f>'Приложение 3'!F260</f>
        <v>600</v>
      </c>
      <c r="F259" s="57">
        <f>'Приложение 3'!G260</f>
        <v>37</v>
      </c>
      <c r="G259" s="57">
        <f>'Приложение 3'!H260</f>
        <v>37</v>
      </c>
      <c r="H259" s="63">
        <f t="shared" si="3"/>
        <v>100</v>
      </c>
    </row>
    <row r="260" spans="1:8" ht="27.75" customHeight="1" hidden="1" outlineLevel="3">
      <c r="A260" s="44" t="str">
        <f>'Приложение 3'!A261</f>
        <v>Непрограммные расходы органов местного самоуправления Алексеевского муниципального района</v>
      </c>
      <c r="B260" s="72" t="str">
        <f>'Приложение 3'!C261</f>
        <v>0801</v>
      </c>
      <c r="C260" s="72" t="str">
        <f>'Приложение 3'!D261</f>
        <v>99</v>
      </c>
      <c r="D260" s="72">
        <f>'Приложение 3'!E261</f>
        <v>0</v>
      </c>
      <c r="E260" s="72"/>
      <c r="F260" s="57">
        <f>'Приложение 3'!G261</f>
        <v>0</v>
      </c>
      <c r="G260" s="57">
        <f>'Приложение 3'!H261</f>
        <v>0</v>
      </c>
      <c r="H260" s="63" t="e">
        <f t="shared" si="3"/>
        <v>#DIV/0!</v>
      </c>
    </row>
    <row r="261" spans="1:8" ht="15" customHeight="1" hidden="1" outlineLevel="3">
      <c r="A261" s="44" t="str">
        <f>'Приложение 3'!A262</f>
        <v>Закупка товаров, работ и услуг для государственных (муниципальных) нужд</v>
      </c>
      <c r="B261" s="72" t="str">
        <f>'Приложение 3'!C262</f>
        <v>0801</v>
      </c>
      <c r="C261" s="72" t="str">
        <f>'Приложение 3'!D262</f>
        <v>99</v>
      </c>
      <c r="D261" s="72">
        <f>'Приложение 3'!E262</f>
        <v>0</v>
      </c>
      <c r="E261" s="72">
        <f>'Приложение 3'!F262</f>
        <v>200</v>
      </c>
      <c r="F261" s="57">
        <f>'Приложение 3'!G262</f>
        <v>0</v>
      </c>
      <c r="G261" s="57">
        <f>'Приложение 3'!H262</f>
        <v>0</v>
      </c>
      <c r="H261" s="63" t="e">
        <f t="shared" si="3"/>
        <v>#DIV/0!</v>
      </c>
    </row>
    <row r="262" spans="1:8" ht="36.75" customHeight="1" outlineLevel="1">
      <c r="A262" s="44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262" s="72" t="str">
        <f>'Приложение 3'!C263</f>
        <v>0800</v>
      </c>
      <c r="C262" s="72" t="str">
        <f>'Приложение 3'!D263</f>
        <v>59</v>
      </c>
      <c r="D262" s="72">
        <f>'Приложение 3'!E263</f>
        <v>0</v>
      </c>
      <c r="E262" s="72"/>
      <c r="F262" s="57">
        <f>'Приложение 3'!G263</f>
        <v>15552.279620000001</v>
      </c>
      <c r="G262" s="57">
        <f>'Приложение 3'!H263</f>
        <v>15552.279620000001</v>
      </c>
      <c r="H262" s="63">
        <f t="shared" si="3"/>
        <v>100</v>
      </c>
    </row>
    <row r="263" spans="1:8" ht="16.5" customHeight="1" outlineLevel="3">
      <c r="A263" s="44" t="str">
        <f>'Приложение 3'!A264</f>
        <v>Дворцы и дома культуры, другие учреждения культуры</v>
      </c>
      <c r="B263" s="72" t="str">
        <f>'Приложение 3'!C264</f>
        <v>0801</v>
      </c>
      <c r="C263" s="72" t="str">
        <f>'Приложение 3'!D264</f>
        <v>59</v>
      </c>
      <c r="D263" s="72">
        <f>'Приложение 3'!E264</f>
        <v>0</v>
      </c>
      <c r="E263" s="72"/>
      <c r="F263" s="57">
        <f>'Приложение 3'!G264</f>
        <v>11066.79441</v>
      </c>
      <c r="G263" s="57">
        <f>'Приложение 3'!H264</f>
        <v>11066.79441</v>
      </c>
      <c r="H263" s="63">
        <f t="shared" si="3"/>
        <v>100</v>
      </c>
    </row>
    <row r="264" spans="1:8" ht="24" customHeight="1" outlineLevel="3">
      <c r="A264" s="44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2" t="str">
        <f>'Приложение 3'!C265</f>
        <v>0801</v>
      </c>
      <c r="C264" s="72" t="str">
        <f>'Приложение 3'!D265</f>
        <v>59</v>
      </c>
      <c r="D264" s="72">
        <f>'Приложение 3'!E265</f>
        <v>0</v>
      </c>
      <c r="E264" s="72">
        <f>'Приложение 3'!F265</f>
        <v>600</v>
      </c>
      <c r="F264" s="57">
        <f>'Приложение 3'!G265</f>
        <v>11066.79441</v>
      </c>
      <c r="G264" s="57">
        <f>'Приложение 3'!H265</f>
        <v>11066.79441</v>
      </c>
      <c r="H264" s="63">
        <f t="shared" si="3"/>
        <v>100</v>
      </c>
    </row>
    <row r="265" spans="1:8" ht="14.25" customHeight="1" outlineLevel="3">
      <c r="A265" s="44" t="str">
        <f>'Приложение 3'!A266</f>
        <v>Музей</v>
      </c>
      <c r="B265" s="72" t="str">
        <f>'Приложение 3'!C266</f>
        <v>0801</v>
      </c>
      <c r="C265" s="72" t="str">
        <f>'Приложение 3'!D266</f>
        <v>59</v>
      </c>
      <c r="D265" s="72">
        <f>'Приложение 3'!E266</f>
        <v>0</v>
      </c>
      <c r="E265" s="72"/>
      <c r="F265" s="57">
        <f>'Приложение 3'!G266</f>
        <v>1463.28624</v>
      </c>
      <c r="G265" s="57">
        <f>'Приложение 3'!H266</f>
        <v>1463.28624</v>
      </c>
      <c r="H265" s="63">
        <f t="shared" si="3"/>
        <v>100</v>
      </c>
    </row>
    <row r="266" spans="1:8" ht="31.5" customHeight="1" outlineLevel="3">
      <c r="A266" s="44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2" t="str">
        <f>'Приложение 3'!C267</f>
        <v>0801</v>
      </c>
      <c r="C266" s="72" t="str">
        <f>'Приложение 3'!D267</f>
        <v>59</v>
      </c>
      <c r="D266" s="72">
        <f>'Приложение 3'!E267</f>
        <v>0</v>
      </c>
      <c r="E266" s="72">
        <f>'Приложение 3'!F267</f>
        <v>600</v>
      </c>
      <c r="F266" s="57">
        <f>'Приложение 3'!G267</f>
        <v>1463.28624</v>
      </c>
      <c r="G266" s="57">
        <f>'Приложение 3'!H267</f>
        <v>1463.28624</v>
      </c>
      <c r="H266" s="63">
        <f aca="true" t="shared" si="4" ref="H266:H329">SUM(G266/F266)*100</f>
        <v>100</v>
      </c>
    </row>
    <row r="267" spans="1:8" ht="16.5" customHeight="1" outlineLevel="3">
      <c r="A267" s="44" t="str">
        <f>'Приложение 3'!A268</f>
        <v>Библиотеки</v>
      </c>
      <c r="B267" s="72" t="str">
        <f>'Приложение 3'!C268</f>
        <v>0801</v>
      </c>
      <c r="C267" s="72" t="str">
        <f>'Приложение 3'!D268</f>
        <v>59</v>
      </c>
      <c r="D267" s="72">
        <f>'Приложение 3'!E268</f>
        <v>0</v>
      </c>
      <c r="E267" s="72"/>
      <c r="F267" s="57">
        <f>'Приложение 3'!G268</f>
        <v>1242.80826</v>
      </c>
      <c r="G267" s="57">
        <f>'Приложение 3'!H268</f>
        <v>1242.80826</v>
      </c>
      <c r="H267" s="63">
        <f t="shared" si="4"/>
        <v>100</v>
      </c>
    </row>
    <row r="268" spans="1:8" ht="27" customHeight="1" outlineLevel="1">
      <c r="A268" s="44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2" t="str">
        <f>'Приложение 3'!C269</f>
        <v>0801</v>
      </c>
      <c r="C268" s="72" t="str">
        <f>'Приложение 3'!D269</f>
        <v>59</v>
      </c>
      <c r="D268" s="72">
        <f>'Приложение 3'!E269</f>
        <v>0</v>
      </c>
      <c r="E268" s="72">
        <f>'Приложение 3'!F269</f>
        <v>600</v>
      </c>
      <c r="F268" s="57">
        <f>'Приложение 3'!G269</f>
        <v>1242.80826</v>
      </c>
      <c r="G268" s="57">
        <f>'Приложение 3'!H269</f>
        <v>1242.80826</v>
      </c>
      <c r="H268" s="63">
        <f t="shared" si="4"/>
        <v>100</v>
      </c>
    </row>
    <row r="269" spans="1:8" ht="12" customHeight="1" outlineLevel="3">
      <c r="A269" s="44" t="str">
        <f>'Приложение 3'!A270</f>
        <v>Кинематография</v>
      </c>
      <c r="B269" s="72" t="str">
        <f>'Приложение 3'!C270</f>
        <v>0802</v>
      </c>
      <c r="C269" s="72" t="str">
        <f>'Приложение 3'!D270</f>
        <v>59</v>
      </c>
      <c r="D269" s="72">
        <f>'Приложение 3'!E270</f>
        <v>0</v>
      </c>
      <c r="E269" s="72"/>
      <c r="F269" s="57">
        <f>'Приложение 3'!G270</f>
        <v>225.16126000000003</v>
      </c>
      <c r="G269" s="57">
        <f>'Приложение 3'!H270</f>
        <v>225.16126000000003</v>
      </c>
      <c r="H269" s="63">
        <f t="shared" si="4"/>
        <v>100</v>
      </c>
    </row>
    <row r="270" spans="1:8" ht="26.25" customHeight="1" outlineLevel="3">
      <c r="A270" s="44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2" t="str">
        <f>'Приложение 3'!C271</f>
        <v>0802</v>
      </c>
      <c r="C270" s="72" t="str">
        <f>'Приложение 3'!D271</f>
        <v>59</v>
      </c>
      <c r="D270" s="72">
        <f>'Приложение 3'!E271</f>
        <v>0</v>
      </c>
      <c r="E270" s="72">
        <f>'Приложение 3'!F271</f>
        <v>600</v>
      </c>
      <c r="F270" s="57">
        <f>'Приложение 3'!G271</f>
        <v>225.16126000000003</v>
      </c>
      <c r="G270" s="57">
        <f>'Приложение 3'!H271</f>
        <v>225.16126000000003</v>
      </c>
      <c r="H270" s="63">
        <f t="shared" si="4"/>
        <v>100</v>
      </c>
    </row>
    <row r="271" spans="1:8" ht="12.75" outlineLevel="3">
      <c r="A271" s="44" t="str">
        <f>'Приложение 3'!A272</f>
        <v>Другие вопросы в области культуры, кинематографии </v>
      </c>
      <c r="B271" s="72" t="str">
        <f>'Приложение 3'!C272</f>
        <v>0804</v>
      </c>
      <c r="C271" s="72" t="str">
        <f>'Приложение 3'!D272</f>
        <v>59</v>
      </c>
      <c r="D271" s="72">
        <f>'Приложение 3'!E272</f>
        <v>0</v>
      </c>
      <c r="E271" s="72"/>
      <c r="F271" s="57">
        <f>'Приложение 3'!G272</f>
        <v>1554.22945</v>
      </c>
      <c r="G271" s="57">
        <f>'Приложение 3'!H272</f>
        <v>1554.22945</v>
      </c>
      <c r="H271" s="63">
        <f t="shared" si="4"/>
        <v>100</v>
      </c>
    </row>
    <row r="272" spans="1:8" ht="24" outlineLevel="3">
      <c r="A272" s="44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2" t="str">
        <f>'Приложение 3'!C273</f>
        <v>0804</v>
      </c>
      <c r="C272" s="72" t="str">
        <f>'Приложение 3'!D273</f>
        <v>59</v>
      </c>
      <c r="D272" s="72">
        <f>'Приложение 3'!E273</f>
        <v>0</v>
      </c>
      <c r="E272" s="72">
        <f>'Приложение 3'!F273</f>
        <v>600</v>
      </c>
      <c r="F272" s="57">
        <f>'Приложение 3'!G273</f>
        <v>1554.22945</v>
      </c>
      <c r="G272" s="57">
        <f>'Приложение 3'!H273</f>
        <v>1554.22945</v>
      </c>
      <c r="H272" s="63">
        <f t="shared" si="4"/>
        <v>100</v>
      </c>
    </row>
    <row r="273" spans="1:8" ht="40.5" customHeight="1" outlineLevel="3">
      <c r="A273" s="44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3" s="72" t="str">
        <f>'Приложение 3'!C274</f>
        <v>0804</v>
      </c>
      <c r="C273" s="72" t="str">
        <f>'Приложение 3'!D274</f>
        <v>10</v>
      </c>
      <c r="D273" s="72">
        <f>'Приложение 3'!E274</f>
        <v>0</v>
      </c>
      <c r="E273" s="72"/>
      <c r="F273" s="72">
        <f>'Приложение 3'!G274</f>
        <v>878.0999999999999</v>
      </c>
      <c r="G273" s="72">
        <f>'Приложение 3'!H274</f>
        <v>878.0999999999999</v>
      </c>
      <c r="H273" s="63">
        <f t="shared" si="4"/>
        <v>100</v>
      </c>
    </row>
    <row r="274" spans="1:8" ht="36" outlineLevel="3">
      <c r="A274" s="44" t="str">
        <f>'Приложение 3'!A275</f>
        <v>Межбюджетные трансферты за счет средств субсидии на благоустройство и ремонт памятников, обелисков и воинских захоронений</v>
      </c>
      <c r="B274" s="72" t="str">
        <f>'Приложение 3'!C275</f>
        <v>0804</v>
      </c>
      <c r="C274" s="72" t="str">
        <f>'Приложение 3'!D275</f>
        <v>10</v>
      </c>
      <c r="D274" s="72">
        <f>'Приложение 3'!E275</f>
        <v>0</v>
      </c>
      <c r="E274" s="72">
        <f>'Приложение 3'!F275</f>
        <v>500</v>
      </c>
      <c r="F274" s="72">
        <f>'Приложение 3'!G275</f>
        <v>878.0999999999999</v>
      </c>
      <c r="G274" s="72">
        <f>'Приложение 3'!H275</f>
        <v>878.0999999999999</v>
      </c>
      <c r="H274" s="63">
        <f t="shared" si="4"/>
        <v>100</v>
      </c>
    </row>
    <row r="275" spans="1:8" ht="12.75" outlineLevel="3">
      <c r="A275" s="44" t="str">
        <f>'Приложение 3'!A276</f>
        <v>Здравоохранение</v>
      </c>
      <c r="B275" s="72" t="str">
        <f>'Приложение 3'!C276</f>
        <v>0900</v>
      </c>
      <c r="C275" s="72"/>
      <c r="D275" s="72"/>
      <c r="E275" s="72"/>
      <c r="F275" s="57">
        <f>'Приложение 3'!G276</f>
        <v>12.5</v>
      </c>
      <c r="G275" s="57">
        <f>'Приложение 3'!H276</f>
        <v>12.5</v>
      </c>
      <c r="H275" s="63">
        <f t="shared" si="4"/>
        <v>100</v>
      </c>
    </row>
    <row r="276" spans="1:8" ht="12.75" outlineLevel="3">
      <c r="A276" s="44" t="str">
        <f>'Приложение 3'!A277</f>
        <v>Амбулаторная помощь</v>
      </c>
      <c r="B276" s="72" t="str">
        <f>'Приложение 3'!C277</f>
        <v>0902</v>
      </c>
      <c r="C276" s="72"/>
      <c r="D276" s="72"/>
      <c r="E276" s="72"/>
      <c r="F276" s="57">
        <f>'Приложение 3'!G277</f>
        <v>12.5</v>
      </c>
      <c r="G276" s="57">
        <f>'Приложение 3'!H277</f>
        <v>12.5</v>
      </c>
      <c r="H276" s="63">
        <f t="shared" si="4"/>
        <v>100</v>
      </c>
    </row>
    <row r="277" spans="1:8" ht="36" outlineLevel="3">
      <c r="A277" s="44" t="str">
        <f>'Приложение 3'!A278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7" s="72" t="str">
        <f>'Приложение 3'!C278</f>
        <v>0902</v>
      </c>
      <c r="C277" s="72" t="str">
        <f>'Приложение 3'!D278</f>
        <v>02</v>
      </c>
      <c r="D277" s="72">
        <f>'Приложение 3'!E278</f>
        <v>0</v>
      </c>
      <c r="E277" s="72"/>
      <c r="F277" s="57">
        <f>'Приложение 3'!G278</f>
        <v>12.5</v>
      </c>
      <c r="G277" s="57">
        <f>'Приложение 3'!H278</f>
        <v>12.5</v>
      </c>
      <c r="H277" s="63">
        <f t="shared" si="4"/>
        <v>100</v>
      </c>
    </row>
    <row r="278" spans="1:8" ht="36">
      <c r="A278" s="44" t="str">
        <f>'Приложение 3'!A279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8" s="72" t="str">
        <f>'Приложение 3'!C279</f>
        <v>0902</v>
      </c>
      <c r="C278" s="72" t="str">
        <f>'Приложение 3'!D279</f>
        <v>02</v>
      </c>
      <c r="D278" s="72">
        <f>'Приложение 3'!E279</f>
        <v>3</v>
      </c>
      <c r="E278" s="72"/>
      <c r="F278" s="57">
        <f>'Приложение 3'!G279</f>
        <v>12.5</v>
      </c>
      <c r="G278" s="57">
        <f>'Приложение 3'!H279</f>
        <v>12.5</v>
      </c>
      <c r="H278" s="63">
        <f t="shared" si="4"/>
        <v>100</v>
      </c>
    </row>
    <row r="279" spans="1:8" s="15" customFormat="1" ht="24" outlineLevel="2">
      <c r="A279" s="44" t="str">
        <f>'Приложение 3'!A280</f>
        <v>Капитальные вложения в объекты государственной (муниципальной) собственности</v>
      </c>
      <c r="B279" s="72" t="str">
        <f>'Приложение 3'!C280</f>
        <v>0902</v>
      </c>
      <c r="C279" s="72" t="str">
        <f>'Приложение 3'!D280</f>
        <v>02</v>
      </c>
      <c r="D279" s="72">
        <f>'Приложение 3'!E280</f>
        <v>3</v>
      </c>
      <c r="E279" s="72">
        <f>'Приложение 3'!F280</f>
        <v>400</v>
      </c>
      <c r="F279" s="57">
        <f>'Приложение 3'!G280</f>
        <v>12.5</v>
      </c>
      <c r="G279" s="57">
        <f>'Приложение 3'!H280</f>
        <v>12.5</v>
      </c>
      <c r="H279" s="63">
        <f t="shared" si="4"/>
        <v>100</v>
      </c>
    </row>
    <row r="280" spans="1:8" s="15" customFormat="1" ht="15" customHeight="1" outlineLevel="2">
      <c r="A280" s="44" t="str">
        <f>'Приложение 3'!A281</f>
        <v>Социальная политика</v>
      </c>
      <c r="B280" s="72" t="str">
        <f>'Приложение 3'!C281</f>
        <v>1000</v>
      </c>
      <c r="C280" s="72"/>
      <c r="D280" s="72"/>
      <c r="E280" s="72"/>
      <c r="F280" s="57">
        <f>'Приложение 3'!G281</f>
        <v>26248.326269999998</v>
      </c>
      <c r="G280" s="57">
        <f>'Приложение 3'!H281</f>
        <v>25809.170699999995</v>
      </c>
      <c r="H280" s="63">
        <f t="shared" si="4"/>
        <v>98.32691972248941</v>
      </c>
    </row>
    <row r="281" spans="1:8" s="15" customFormat="1" ht="15.75" customHeight="1" outlineLevel="2">
      <c r="A281" s="44" t="str">
        <f>'Приложение 3'!A282</f>
        <v>Доплаты к пенсии государственных служащих субъектов Российской Федерации и муниципальных служащих</v>
      </c>
      <c r="B281" s="72" t="str">
        <f>'Приложение 3'!C282</f>
        <v>1001</v>
      </c>
      <c r="C281" s="72"/>
      <c r="D281" s="72"/>
      <c r="E281" s="72"/>
      <c r="F281" s="57">
        <f>'Приложение 3'!G282</f>
        <v>4126.09727</v>
      </c>
      <c r="G281" s="57">
        <f>'Приложение 3'!H282</f>
        <v>4126.09727</v>
      </c>
      <c r="H281" s="63">
        <f t="shared" si="4"/>
        <v>100</v>
      </c>
    </row>
    <row r="282" spans="1:8" ht="15" customHeight="1" outlineLevel="3">
      <c r="A282" s="44" t="str">
        <f>'Приложение 3'!A283</f>
        <v>Непрограммные расходы органов местного самоуправления Алексеевского муниципального района</v>
      </c>
      <c r="B282" s="72" t="str">
        <f>'Приложение 3'!C283</f>
        <v>1001</v>
      </c>
      <c r="C282" s="72" t="str">
        <f>'Приложение 3'!D283</f>
        <v>99</v>
      </c>
      <c r="D282" s="72">
        <f>'Приложение 3'!E283</f>
        <v>0</v>
      </c>
      <c r="E282" s="72"/>
      <c r="F282" s="57">
        <f>'Приложение 3'!G283</f>
        <v>4126.09727</v>
      </c>
      <c r="G282" s="57">
        <f>'Приложение 3'!H283</f>
        <v>4126.09727</v>
      </c>
      <c r="H282" s="63">
        <f t="shared" si="4"/>
        <v>100</v>
      </c>
    </row>
    <row r="283" spans="1:8" s="15" customFormat="1" ht="12.75" outlineLevel="2">
      <c r="A283" s="44" t="str">
        <f>'Приложение 3'!A284</f>
        <v>Социальное обеспечение и иные выплаты населению</v>
      </c>
      <c r="B283" s="72" t="str">
        <f>'Приложение 3'!C284</f>
        <v>1001</v>
      </c>
      <c r="C283" s="72" t="str">
        <f>'Приложение 3'!D284</f>
        <v>99</v>
      </c>
      <c r="D283" s="72">
        <f>'Приложение 3'!E284</f>
        <v>0</v>
      </c>
      <c r="E283" s="72">
        <f>'Приложение 3'!F284</f>
        <v>300</v>
      </c>
      <c r="F283" s="57">
        <f>'Приложение 3'!G284</f>
        <v>4126.09727</v>
      </c>
      <c r="G283" s="57">
        <f>'Приложение 3'!H284</f>
        <v>4126.09727</v>
      </c>
      <c r="H283" s="63">
        <f t="shared" si="4"/>
        <v>100</v>
      </c>
    </row>
    <row r="284" spans="1:8" s="15" customFormat="1" ht="14.25" customHeight="1" outlineLevel="2">
      <c r="A284" s="44" t="str">
        <f>'Приложение 3'!A285</f>
        <v>Социальное обеспечение населения</v>
      </c>
      <c r="B284" s="72" t="str">
        <f>'Приложение 3'!C285</f>
        <v>1003</v>
      </c>
      <c r="C284" s="72"/>
      <c r="D284" s="72"/>
      <c r="E284" s="72"/>
      <c r="F284" s="57">
        <f>'Приложение 3'!G285</f>
        <v>14440.185999999998</v>
      </c>
      <c r="G284" s="57">
        <f>'Приложение 3'!H285</f>
        <v>14082.244429999999</v>
      </c>
      <c r="H284" s="63">
        <f t="shared" si="4"/>
        <v>97.52121219214213</v>
      </c>
    </row>
    <row r="285" spans="1:8" s="15" customFormat="1" ht="29.25" customHeight="1" outlineLevel="2">
      <c r="A285" s="44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5" s="72" t="str">
        <f>'Приложение 3'!C286</f>
        <v>1003</v>
      </c>
      <c r="C285" s="72" t="str">
        <f>'Приложение 3'!D286</f>
        <v>14</v>
      </c>
      <c r="D285" s="72">
        <f>'Приложение 3'!E286</f>
        <v>0</v>
      </c>
      <c r="E285" s="72"/>
      <c r="F285" s="57">
        <f>'Приложение 3'!G286</f>
        <v>745.229</v>
      </c>
      <c r="G285" s="57">
        <f>'Приложение 3'!H286</f>
        <v>745.229</v>
      </c>
      <c r="H285" s="63">
        <f t="shared" si="4"/>
        <v>100</v>
      </c>
    </row>
    <row r="286" spans="1:8" ht="12.75" outlineLevel="3">
      <c r="A286" s="44" t="str">
        <f>'Приложение 3'!A287</f>
        <v>Социальное обеспечение и иные выплаты населению</v>
      </c>
      <c r="B286" s="72" t="str">
        <f>'Приложение 3'!C287</f>
        <v>1003</v>
      </c>
      <c r="C286" s="72" t="str">
        <f>'Приложение 3'!D287</f>
        <v>14</v>
      </c>
      <c r="D286" s="72">
        <f>'Приложение 3'!E287</f>
        <v>0</v>
      </c>
      <c r="E286" s="72">
        <f>'Приложение 3'!F287</f>
        <v>300</v>
      </c>
      <c r="F286" s="57">
        <f>'Приложение 3'!G287</f>
        <v>745.229</v>
      </c>
      <c r="G286" s="57">
        <f>'Приложение 3'!H287</f>
        <v>745.229</v>
      </c>
      <c r="H286" s="63">
        <f t="shared" si="4"/>
        <v>100</v>
      </c>
    </row>
    <row r="287" spans="1:8" ht="14.25" customHeight="1" outlineLevel="1">
      <c r="A287" s="44" t="str">
        <f>'Приложение 3'!A288</f>
        <v>Непрограммные расходы органов местного самоуправления Алексеевского муниципального района</v>
      </c>
      <c r="B287" s="72" t="str">
        <f>'Приложение 3'!C288</f>
        <v>1003</v>
      </c>
      <c r="C287" s="72" t="str">
        <f>'Приложение 3'!D288</f>
        <v>99</v>
      </c>
      <c r="D287" s="72">
        <f>'Приложение 3'!E288</f>
        <v>0</v>
      </c>
      <c r="E287" s="72"/>
      <c r="F287" s="57">
        <f>'Приложение 3'!G288</f>
        <v>13694.956999999999</v>
      </c>
      <c r="G287" s="57">
        <f>'Приложение 3'!H288</f>
        <v>13337.01543</v>
      </c>
      <c r="H287" s="63">
        <f t="shared" si="4"/>
        <v>97.38632571098982</v>
      </c>
    </row>
    <row r="288" spans="1:8" ht="77.25" customHeight="1" outlineLevel="1">
      <c r="A288" s="44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2" t="str">
        <f>'Приложение 3'!C289</f>
        <v>1003</v>
      </c>
      <c r="C288" s="72" t="str">
        <f>'Приложение 3'!D289</f>
        <v>99</v>
      </c>
      <c r="D288" s="72">
        <f>'Приложение 3'!E289</f>
        <v>0</v>
      </c>
      <c r="E288" s="72"/>
      <c r="F288" s="57">
        <f>'Приложение 3'!G289</f>
        <v>9754.357</v>
      </c>
      <c r="G288" s="57">
        <f>'Приложение 3'!H289</f>
        <v>9569.045</v>
      </c>
      <c r="H288" s="63">
        <f t="shared" si="4"/>
        <v>98.10021306376217</v>
      </c>
    </row>
    <row r="289" spans="1:8" ht="13.5" customHeight="1" outlineLevel="2">
      <c r="A289" s="44" t="str">
        <f>'Приложение 3'!A290</f>
        <v>Социальное обеспечение и иные выплаты населению</v>
      </c>
      <c r="B289" s="72" t="str">
        <f>'Приложение 3'!C290</f>
        <v>1003</v>
      </c>
      <c r="C289" s="72" t="str">
        <f>'Приложение 3'!D290</f>
        <v>99</v>
      </c>
      <c r="D289" s="72">
        <f>'Приложение 3'!E290</f>
        <v>0</v>
      </c>
      <c r="E289" s="72">
        <f>'Приложение 3'!F290</f>
        <v>300</v>
      </c>
      <c r="F289" s="57">
        <f>'Приложение 3'!G290</f>
        <v>9657.77921</v>
      </c>
      <c r="G289" s="57">
        <f>'Приложение 3'!H290</f>
        <v>9474.30129</v>
      </c>
      <c r="H289" s="63">
        <f t="shared" si="4"/>
        <v>98.10020589609233</v>
      </c>
    </row>
    <row r="290" spans="1:8" ht="24.75" customHeight="1" outlineLevel="3">
      <c r="A290" s="44" t="str">
        <f>'Приложение 3'!A291</f>
        <v>Закупка товаров, работ и услуг для государственных (муниципальных) нужд</v>
      </c>
      <c r="B290" s="72" t="str">
        <f>'Приложение 3'!C291</f>
        <v>1003</v>
      </c>
      <c r="C290" s="72" t="str">
        <f>'Приложение 3'!D291</f>
        <v>99</v>
      </c>
      <c r="D290" s="72">
        <f>'Приложение 3'!E291</f>
        <v>0</v>
      </c>
      <c r="E290" s="72">
        <f>'Приложение 3'!F291</f>
        <v>200</v>
      </c>
      <c r="F290" s="57">
        <f>'Приложение 3'!G291</f>
        <v>96.57779</v>
      </c>
      <c r="G290" s="57">
        <f>'Приложение 3'!H291</f>
        <v>94.74371</v>
      </c>
      <c r="H290" s="63">
        <f t="shared" si="4"/>
        <v>98.1009298307613</v>
      </c>
    </row>
    <row r="291" spans="1:8" ht="80.25" customHeight="1">
      <c r="A291" s="44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2" t="str">
        <f>'Приложение 3'!C292</f>
        <v>1003</v>
      </c>
      <c r="C291" s="72" t="str">
        <f>'Приложение 3'!D292</f>
        <v>99</v>
      </c>
      <c r="D291" s="72">
        <f>'Приложение 3'!E292</f>
        <v>0</v>
      </c>
      <c r="E291" s="72">
        <f>'Приложение 3'!F292</f>
        <v>300</v>
      </c>
      <c r="F291" s="57">
        <f>'Приложение 3'!G292</f>
        <v>804.2999999999998</v>
      </c>
      <c r="G291" s="57">
        <f>'Приложение 3'!H292</f>
        <v>631.67043</v>
      </c>
      <c r="H291" s="63">
        <f t="shared" si="4"/>
        <v>78.53666915330102</v>
      </c>
    </row>
    <row r="292" spans="1:8" ht="72" outlineLevel="1">
      <c r="A292" s="44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2" t="str">
        <f>'Приложение 3'!C293</f>
        <v>1003</v>
      </c>
      <c r="C292" s="72" t="str">
        <f>'Приложение 3'!D293</f>
        <v>99</v>
      </c>
      <c r="D292" s="72">
        <f>'Приложение 3'!E293</f>
        <v>0</v>
      </c>
      <c r="E292" s="72">
        <f>'Приложение 3'!F293</f>
        <v>300</v>
      </c>
      <c r="F292" s="57">
        <f>'Приложение 3'!G293</f>
        <v>36.300000000000004</v>
      </c>
      <c r="G292" s="57">
        <f>'Приложение 3'!H293</f>
        <v>36.300000000000004</v>
      </c>
      <c r="H292" s="63">
        <f t="shared" si="4"/>
        <v>100</v>
      </c>
    </row>
    <row r="293" spans="1:8" ht="90" customHeight="1" outlineLevel="1">
      <c r="A293" s="44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2" t="str">
        <f>'Приложение 3'!C294</f>
        <v>1003</v>
      </c>
      <c r="C293" s="72" t="str">
        <f>'Приложение 3'!D294</f>
        <v>99</v>
      </c>
      <c r="D293" s="72">
        <f>'Приложение 3'!E294</f>
        <v>0</v>
      </c>
      <c r="E293" s="72">
        <f>'Приложение 3'!F294</f>
        <v>300</v>
      </c>
      <c r="F293" s="57">
        <f>'Приложение 3'!G294</f>
        <v>3099.9999999999995</v>
      </c>
      <c r="G293" s="57">
        <f>'Приложение 3'!H294</f>
        <v>3099.9999999999995</v>
      </c>
      <c r="H293" s="63">
        <f t="shared" si="4"/>
        <v>100</v>
      </c>
    </row>
    <row r="294" spans="1:8" ht="12.75" outlineLevel="1">
      <c r="A294" s="44" t="str">
        <f>'Приложение 3'!A295</f>
        <v>Охрана семьи и детства</v>
      </c>
      <c r="B294" s="72" t="str">
        <f>'Приложение 3'!C295</f>
        <v>1004</v>
      </c>
      <c r="C294" s="72"/>
      <c r="D294" s="72"/>
      <c r="E294" s="72"/>
      <c r="F294" s="57">
        <f>'Приложение 3'!G295</f>
        <v>6603.6</v>
      </c>
      <c r="G294" s="57">
        <f>'Приложение 3'!H295</f>
        <v>6522.386</v>
      </c>
      <c r="H294" s="63">
        <f t="shared" si="4"/>
        <v>98.77015567266339</v>
      </c>
    </row>
    <row r="295" spans="1:8" ht="27" customHeight="1" hidden="1" outlineLevel="1">
      <c r="A295" s="44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2" t="str">
        <f>'Приложение 3'!C296</f>
        <v>1004</v>
      </c>
      <c r="C295" s="72" t="str">
        <f>'Приложение 3'!D296</f>
        <v>11</v>
      </c>
      <c r="D295" s="72">
        <f>'Приложение 3'!E296</f>
        <v>0</v>
      </c>
      <c r="E295" s="72"/>
      <c r="F295" s="57">
        <f>'Приложение 3'!G296</f>
        <v>0</v>
      </c>
      <c r="G295" s="57">
        <f>'Приложение 3'!H296</f>
        <v>0</v>
      </c>
      <c r="H295" s="63" t="e">
        <f t="shared" si="4"/>
        <v>#DIV/0!</v>
      </c>
    </row>
    <row r="296" spans="1:8" ht="21.75" customHeight="1" hidden="1" outlineLevel="5">
      <c r="A296" s="44" t="str">
        <f>'Приложение 3'!A297</f>
        <v>Социальное обеспечение и иные выплаты населению</v>
      </c>
      <c r="B296" s="72" t="str">
        <f>'Приложение 3'!C297</f>
        <v>1004</v>
      </c>
      <c r="C296" s="72" t="str">
        <f>'Приложение 3'!D297</f>
        <v>11</v>
      </c>
      <c r="D296" s="72">
        <f>'Приложение 3'!E297</f>
        <v>0</v>
      </c>
      <c r="E296" s="72">
        <f>'Приложение 3'!F297</f>
        <v>300</v>
      </c>
      <c r="F296" s="57">
        <f>'Приложение 3'!G297</f>
        <v>0</v>
      </c>
      <c r="G296" s="57">
        <f>'Приложение 3'!H297</f>
        <v>0</v>
      </c>
      <c r="H296" s="63" t="e">
        <f t="shared" si="4"/>
        <v>#DIV/0!</v>
      </c>
    </row>
    <row r="297" spans="1:8" ht="16.5" customHeight="1" outlineLevel="5">
      <c r="A297" s="44" t="str">
        <f>'Приложение 3'!A298</f>
        <v>Непрограммные расходы органов местного самоуправления Алексеевского муниципального района</v>
      </c>
      <c r="B297" s="72" t="str">
        <f>'Приложение 3'!C298</f>
        <v>1004</v>
      </c>
      <c r="C297" s="72" t="str">
        <f>'Приложение 3'!D298</f>
        <v>99</v>
      </c>
      <c r="D297" s="72">
        <f>'Приложение 3'!E298</f>
        <v>0</v>
      </c>
      <c r="E297" s="72"/>
      <c r="F297" s="57">
        <f>'Приложение 3'!G298</f>
        <v>6603.6</v>
      </c>
      <c r="G297" s="57">
        <f>'Приложение 3'!H298</f>
        <v>6522.386</v>
      </c>
      <c r="H297" s="63">
        <f t="shared" si="4"/>
        <v>98.77015567266339</v>
      </c>
    </row>
    <row r="298" spans="1:8" ht="27" customHeight="1" outlineLevel="2">
      <c r="A298" s="44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2" t="str">
        <f>'Приложение 3'!C299</f>
        <v>1004</v>
      </c>
      <c r="C298" s="72" t="str">
        <f>'Приложение 3'!D299</f>
        <v>99</v>
      </c>
      <c r="D298" s="72">
        <f>'Приложение 3'!E299</f>
        <v>0</v>
      </c>
      <c r="E298" s="72"/>
      <c r="F298" s="57">
        <f>'Приложение 3'!G299</f>
        <v>529.9999999999999</v>
      </c>
      <c r="G298" s="57">
        <f>'Приложение 3'!H299</f>
        <v>529.9999999999999</v>
      </c>
      <c r="H298" s="63">
        <f t="shared" si="4"/>
        <v>100</v>
      </c>
    </row>
    <row r="299" spans="1:8" ht="14.25" customHeight="1" outlineLevel="3">
      <c r="A299" s="44" t="str">
        <f>'Приложение 3'!A300</f>
        <v>Социальное обеспечение и иные выплаты населению</v>
      </c>
      <c r="B299" s="72" t="str">
        <f>'Приложение 3'!C300</f>
        <v>1004</v>
      </c>
      <c r="C299" s="72" t="str">
        <f>'Приложение 3'!D300</f>
        <v>99</v>
      </c>
      <c r="D299" s="72">
        <f>'Приложение 3'!E300</f>
        <v>0</v>
      </c>
      <c r="E299" s="72">
        <f>'Приложение 3'!F300</f>
        <v>300</v>
      </c>
      <c r="F299" s="57">
        <f>'Приложение 3'!G300</f>
        <v>524.7524799999999</v>
      </c>
      <c r="G299" s="57">
        <f>'Приложение 3'!H300</f>
        <v>524.7524799999999</v>
      </c>
      <c r="H299" s="63">
        <f t="shared" si="4"/>
        <v>100</v>
      </c>
    </row>
    <row r="300" spans="1:8" ht="24" outlineLevel="2">
      <c r="A300" s="44" t="str">
        <f>'Приложение 3'!A301</f>
        <v>Закупка товаров, работ и услуг для государственных (муниципальных) нужд</v>
      </c>
      <c r="B300" s="72" t="str">
        <f>'Приложение 3'!C301</f>
        <v>1004</v>
      </c>
      <c r="C300" s="72" t="str">
        <f>'Приложение 3'!D301</f>
        <v>99</v>
      </c>
      <c r="D300" s="72">
        <f>'Приложение 3'!E301</f>
        <v>0</v>
      </c>
      <c r="E300" s="72">
        <f>'Приложение 3'!F301</f>
        <v>200</v>
      </c>
      <c r="F300" s="57">
        <f>'Приложение 3'!G301</f>
        <v>5.247519999999999</v>
      </c>
      <c r="G300" s="57">
        <f>'Приложение 3'!H301</f>
        <v>5.247519999999999</v>
      </c>
      <c r="H300" s="63">
        <f t="shared" si="4"/>
        <v>100</v>
      </c>
    </row>
    <row r="301" spans="1:8" ht="41.25" customHeight="1" outlineLevel="3">
      <c r="A301" s="44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2" t="str">
        <f>'Приложение 3'!C302</f>
        <v>1004</v>
      </c>
      <c r="C301" s="72" t="str">
        <f>'Приложение 3'!D302</f>
        <v>99</v>
      </c>
      <c r="D301" s="72">
        <f>'Приложение 3'!E302</f>
        <v>0</v>
      </c>
      <c r="E301" s="72"/>
      <c r="F301" s="57">
        <f>'Приложение 3'!G302</f>
        <v>6073.6</v>
      </c>
      <c r="G301" s="57">
        <f>'Приложение 3'!H302</f>
        <v>5992.386</v>
      </c>
      <c r="H301" s="63">
        <f t="shared" si="4"/>
        <v>98.66283587987355</v>
      </c>
    </row>
    <row r="302" spans="1:8" ht="17.25" customHeight="1" outlineLevel="3">
      <c r="A302" s="44" t="str">
        <f>'Приложение 3'!A303</f>
        <v>на выплату пособий по опеке и попечительству</v>
      </c>
      <c r="B302" s="72" t="str">
        <f>'Приложение 3'!C303</f>
        <v>1004</v>
      </c>
      <c r="C302" s="72" t="str">
        <f>'Приложение 3'!D303</f>
        <v>99</v>
      </c>
      <c r="D302" s="72">
        <f>'Приложение 3'!E303</f>
        <v>0</v>
      </c>
      <c r="E302" s="72">
        <f>'Приложение 3'!F303</f>
        <v>300</v>
      </c>
      <c r="F302" s="57">
        <f>'Приложение 3'!G303</f>
        <v>4899.5</v>
      </c>
      <c r="G302" s="57">
        <f>'Приложение 3'!H303</f>
        <v>4841.486</v>
      </c>
      <c r="H302" s="63">
        <f t="shared" si="4"/>
        <v>98.8159199918359</v>
      </c>
    </row>
    <row r="303" spans="1:8" ht="27" customHeight="1" outlineLevel="3">
      <c r="A303" s="44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2" t="str">
        <f>'Приложение 3'!C304</f>
        <v>1004</v>
      </c>
      <c r="C303" s="72" t="str">
        <f>'Приложение 3'!D304</f>
        <v>99</v>
      </c>
      <c r="D303" s="72">
        <f>'Приложение 3'!E304</f>
        <v>0</v>
      </c>
      <c r="E303" s="72">
        <f>'Приложение 3'!F304</f>
        <v>300</v>
      </c>
      <c r="F303" s="57">
        <f>'Приложение 3'!G304</f>
        <v>1174.1</v>
      </c>
      <c r="G303" s="57">
        <f>'Приложение 3'!H304</f>
        <v>1150.9</v>
      </c>
      <c r="H303" s="63">
        <f t="shared" si="4"/>
        <v>98.02401839707011</v>
      </c>
    </row>
    <row r="304" spans="1:8" ht="21" customHeight="1" outlineLevel="3">
      <c r="A304" s="44" t="str">
        <f>'Приложение 3'!A305</f>
        <v>Другие вопросы в области социальной политики</v>
      </c>
      <c r="B304" s="72" t="str">
        <f>'Приложение 3'!C305</f>
        <v>1006</v>
      </c>
      <c r="C304" s="72">
        <f>'Приложение 3'!D305</f>
        <v>0</v>
      </c>
      <c r="D304" s="72">
        <f>'Приложение 3'!E305</f>
        <v>0</v>
      </c>
      <c r="E304" s="72">
        <f>'Приложение 3'!F305</f>
        <v>0</v>
      </c>
      <c r="F304" s="57">
        <f>'Приложение 3'!G305</f>
        <v>1078.443</v>
      </c>
      <c r="G304" s="57">
        <f>'Приложение 3'!H305</f>
        <v>1078.443</v>
      </c>
      <c r="H304" s="63">
        <f t="shared" si="4"/>
        <v>100</v>
      </c>
    </row>
    <row r="305" spans="1:8" ht="28.5" customHeight="1" outlineLevel="3">
      <c r="A305" s="44" t="str">
        <f>'Приложение 3'!A306</f>
        <v>Непрограммные расходы органов местного самоуправления Алексеевского муниципального района</v>
      </c>
      <c r="B305" s="72" t="str">
        <f>'Приложение 3'!C306</f>
        <v>1006</v>
      </c>
      <c r="C305" s="72" t="str">
        <f>'Приложение 3'!D306</f>
        <v>99</v>
      </c>
      <c r="D305" s="72">
        <f>'Приложение 3'!E306</f>
        <v>0</v>
      </c>
      <c r="E305" s="72">
        <f>'Приложение 3'!F306</f>
        <v>0</v>
      </c>
      <c r="F305" s="57">
        <f>'Приложение 3'!G306</f>
        <v>1078.443</v>
      </c>
      <c r="G305" s="57">
        <f>'Приложение 3'!H306</f>
        <v>1078.443</v>
      </c>
      <c r="H305" s="63">
        <f t="shared" si="4"/>
        <v>100</v>
      </c>
    </row>
    <row r="306" spans="1:8" ht="36.75" customHeight="1" outlineLevel="3">
      <c r="A306" s="44" t="str">
        <f>'Приложение 3'!A307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6" s="72" t="str">
        <f>'Приложение 3'!C307</f>
        <v>1006</v>
      </c>
      <c r="C306" s="72" t="str">
        <f>'Приложение 3'!D307</f>
        <v>99</v>
      </c>
      <c r="D306" s="72">
        <f>'Приложение 3'!E307</f>
        <v>0</v>
      </c>
      <c r="E306" s="72">
        <f>'Приложение 3'!F307</f>
        <v>0</v>
      </c>
      <c r="F306" s="57">
        <f>'Приложение 3'!G307</f>
        <v>1078.443</v>
      </c>
      <c r="G306" s="57">
        <f>'Приложение 3'!H307</f>
        <v>1078.443</v>
      </c>
      <c r="H306" s="63">
        <f t="shared" si="4"/>
        <v>100</v>
      </c>
    </row>
    <row r="307" spans="1:8" ht="25.5" customHeight="1" outlineLevel="2">
      <c r="A307" s="44" t="str">
        <f>'Приложение 3'!A308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7" s="72" t="str">
        <f>'Приложение 3'!C308</f>
        <v>1006</v>
      </c>
      <c r="C307" s="72" t="str">
        <f>'Приложение 3'!D308</f>
        <v>99</v>
      </c>
      <c r="D307" s="72">
        <f>'Приложение 3'!E308</f>
        <v>0</v>
      </c>
      <c r="E307" s="72">
        <f>'Приложение 3'!F308</f>
        <v>100</v>
      </c>
      <c r="F307" s="57">
        <f>'Приложение 3'!G308</f>
        <v>982.918</v>
      </c>
      <c r="G307" s="57">
        <f>'Приложение 3'!H308</f>
        <v>982.918</v>
      </c>
      <c r="H307" s="63">
        <f t="shared" si="4"/>
        <v>100</v>
      </c>
    </row>
    <row r="308" spans="1:8" ht="15.75" customHeight="1" outlineLevel="2">
      <c r="A308" s="44" t="str">
        <f>'Приложение 3'!A309</f>
        <v>Закупка товаров, работ и услуг для государственных (муниципальных) нужд</v>
      </c>
      <c r="B308" s="72" t="str">
        <f>'Приложение 3'!C309</f>
        <v>1006</v>
      </c>
      <c r="C308" s="72" t="str">
        <f>'Приложение 3'!D309</f>
        <v>99</v>
      </c>
      <c r="D308" s="72">
        <f>'Приложение 3'!E309</f>
        <v>0</v>
      </c>
      <c r="E308" s="72">
        <f>'Приложение 3'!F309</f>
        <v>200</v>
      </c>
      <c r="F308" s="57">
        <f>'Приложение 3'!G309</f>
        <v>95.525</v>
      </c>
      <c r="G308" s="57">
        <f>'Приложение 3'!H309</f>
        <v>95.525</v>
      </c>
      <c r="H308" s="63">
        <f t="shared" si="4"/>
        <v>100</v>
      </c>
    </row>
    <row r="309" spans="1:8" ht="15.75" customHeight="1" outlineLevel="2">
      <c r="A309" s="44" t="str">
        <f>'Приложение 3'!A310</f>
        <v>Физическая культура и спорт</v>
      </c>
      <c r="B309" s="72" t="str">
        <f>'Приложение 3'!C310</f>
        <v>1100</v>
      </c>
      <c r="C309" s="72"/>
      <c r="D309" s="72"/>
      <c r="E309" s="72"/>
      <c r="F309" s="57">
        <f>'Приложение 3'!G310</f>
        <v>704.08164</v>
      </c>
      <c r="G309" s="57">
        <f>'Приложение 3'!H310</f>
        <v>704.08164</v>
      </c>
      <c r="H309" s="63">
        <f t="shared" si="4"/>
        <v>100</v>
      </c>
    </row>
    <row r="310" spans="1:8" ht="15.75" customHeight="1" hidden="1" outlineLevel="2">
      <c r="A310" s="44" t="str">
        <f>'Приложение 3'!A311</f>
        <v>Физическая культура </v>
      </c>
      <c r="B310" s="72" t="str">
        <f>'Приложение 3'!C311</f>
        <v>1101</v>
      </c>
      <c r="C310" s="72"/>
      <c r="D310" s="72"/>
      <c r="E310" s="72"/>
      <c r="F310" s="57">
        <f>'Приложение 3'!G311</f>
        <v>0</v>
      </c>
      <c r="G310" s="57">
        <f>'Приложение 3'!H311</f>
        <v>0</v>
      </c>
      <c r="H310" s="63" t="e">
        <f t="shared" si="4"/>
        <v>#DIV/0!</v>
      </c>
    </row>
    <row r="311" spans="1:8" ht="26.25" customHeight="1" hidden="1" outlineLevel="2">
      <c r="A311" s="44" t="str">
        <f>'Приложение 3'!A312</f>
        <v>Муниципальная программа "Комплексное развитие сельских территорий"</v>
      </c>
      <c r="B311" s="72" t="str">
        <f>'Приложение 3'!C312</f>
        <v>1101</v>
      </c>
      <c r="C311" s="72" t="str">
        <f>'Приложение 3'!D312</f>
        <v>03</v>
      </c>
      <c r="D311" s="72">
        <f>'Приложение 3'!E312</f>
        <v>0</v>
      </c>
      <c r="E311" s="72"/>
      <c r="F311" s="57">
        <f>'Приложение 3'!G312</f>
        <v>0</v>
      </c>
      <c r="G311" s="57">
        <f>'Приложение 3'!H312</f>
        <v>0</v>
      </c>
      <c r="H311" s="63" t="e">
        <f t="shared" si="4"/>
        <v>#DIV/0!</v>
      </c>
    </row>
    <row r="312" spans="1:8" ht="15.75" customHeight="1" hidden="1" outlineLevel="2">
      <c r="A312" s="44" t="str">
        <f>'Приложение 3'!A313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2" s="72" t="str">
        <f>'Приложение 3'!C313</f>
        <v>1101</v>
      </c>
      <c r="C312" s="72" t="str">
        <f>'Приложение 3'!D313</f>
        <v>03</v>
      </c>
      <c r="D312" s="72">
        <f>'Приложение 3'!E313</f>
        <v>0</v>
      </c>
      <c r="E312" s="72">
        <f>'Приложение 3'!F313</f>
        <v>400</v>
      </c>
      <c r="F312" s="57">
        <f>'Приложение 3'!G313</f>
        <v>0</v>
      </c>
      <c r="G312" s="57">
        <f>'Приложение 3'!H313</f>
        <v>0</v>
      </c>
      <c r="H312" s="63" t="e">
        <f t="shared" si="4"/>
        <v>#DIV/0!</v>
      </c>
    </row>
    <row r="313" spans="1:8" ht="15.75" customHeight="1" hidden="1" outlineLevel="2">
      <c r="A313" s="44" t="str">
        <f>'Приложение 3'!A314</f>
        <v>Капитальные вложения в объекты государственной (муниципальной) собственности (софинансирование)</v>
      </c>
      <c r="B313" s="72" t="str">
        <f>'Приложение 3'!C314</f>
        <v>1101</v>
      </c>
      <c r="C313" s="72" t="str">
        <f>'Приложение 3'!D314</f>
        <v>03</v>
      </c>
      <c r="D313" s="72">
        <f>'Приложение 3'!E314</f>
        <v>0</v>
      </c>
      <c r="E313" s="72">
        <f>'Приложение 3'!F314</f>
        <v>400</v>
      </c>
      <c r="F313" s="57">
        <f>'Приложение 3'!G314</f>
        <v>0</v>
      </c>
      <c r="G313" s="57">
        <f>'Приложение 3'!H314</f>
        <v>0</v>
      </c>
      <c r="H313" s="63" t="e">
        <f t="shared" si="4"/>
        <v>#DIV/0!</v>
      </c>
    </row>
    <row r="314" spans="1:8" ht="12.75" outlineLevel="2">
      <c r="A314" s="44" t="str">
        <f>'Приложение 3'!A315</f>
        <v>Массовый спорт</v>
      </c>
      <c r="B314" s="72" t="str">
        <f>'Приложение 3'!C315</f>
        <v>1102</v>
      </c>
      <c r="C314" s="72"/>
      <c r="D314" s="72"/>
      <c r="E314" s="72"/>
      <c r="F314" s="57">
        <f>'Приложение 3'!G315</f>
        <v>250</v>
      </c>
      <c r="G314" s="57">
        <f>'Приложение 3'!H315</f>
        <v>250</v>
      </c>
      <c r="H314" s="63">
        <f t="shared" si="4"/>
        <v>100</v>
      </c>
    </row>
    <row r="315" spans="1:8" ht="36" outlineLevel="2">
      <c r="A315" s="44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2" t="str">
        <f>'Приложение 3'!C316</f>
        <v>1102</v>
      </c>
      <c r="C315" s="72" t="str">
        <f>'Приложение 3'!D316</f>
        <v>17</v>
      </c>
      <c r="D315" s="72">
        <f>'Приложение 3'!E316</f>
        <v>0</v>
      </c>
      <c r="E315" s="72"/>
      <c r="F315" s="57">
        <f>'Приложение 3'!G316</f>
        <v>250</v>
      </c>
      <c r="G315" s="57">
        <f>'Приложение 3'!H316</f>
        <v>250</v>
      </c>
      <c r="H315" s="63">
        <f t="shared" si="4"/>
        <v>100</v>
      </c>
    </row>
    <row r="316" spans="1:8" ht="36" outlineLevel="2">
      <c r="A316" s="44" t="str">
        <f>'Приложение 3'!A317</f>
        <v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v>
      </c>
      <c r="B316" s="72" t="str">
        <f>'Приложение 3'!C317</f>
        <v>1102</v>
      </c>
      <c r="C316" s="72" t="str">
        <f>'Приложение 3'!D317</f>
        <v>17</v>
      </c>
      <c r="D316" s="72">
        <f>'Приложение 3'!E317</f>
        <v>0</v>
      </c>
      <c r="E316" s="72">
        <f>'Приложение 3'!F317</f>
        <v>400</v>
      </c>
      <c r="F316" s="57">
        <f>'Приложение 3'!G317</f>
        <v>200</v>
      </c>
      <c r="G316" s="57">
        <f>'Приложение 3'!H317</f>
        <v>200</v>
      </c>
      <c r="H316" s="63">
        <f t="shared" si="4"/>
        <v>100</v>
      </c>
    </row>
    <row r="317" spans="1:8" ht="24" outlineLevel="3">
      <c r="A317" s="44" t="str">
        <f>'Приложение 3'!A318</f>
        <v>Капитальные вложения в объекты государственной (муниципальной) собственности</v>
      </c>
      <c r="B317" s="72" t="str">
        <f>'Приложение 3'!C318</f>
        <v>1102</v>
      </c>
      <c r="C317" s="72" t="str">
        <f>'Приложение 3'!D318</f>
        <v>17</v>
      </c>
      <c r="D317" s="72">
        <f>'Приложение 3'!E318</f>
        <v>0</v>
      </c>
      <c r="E317" s="72">
        <f>'Приложение 3'!F318</f>
        <v>400</v>
      </c>
      <c r="F317" s="57">
        <f>'Приложение 3'!G318</f>
        <v>50</v>
      </c>
      <c r="G317" s="57">
        <f>'Приложение 3'!H318</f>
        <v>50</v>
      </c>
      <c r="H317" s="63">
        <f t="shared" si="4"/>
        <v>100</v>
      </c>
    </row>
    <row r="318" spans="1:8" ht="19.5" customHeight="1" outlineLevel="3">
      <c r="A318" s="44" t="str">
        <f>'Приложение 3'!A319</f>
        <v>Другие вопросы в области физической культуры и спорта</v>
      </c>
      <c r="B318" s="72" t="str">
        <f>'Приложение 3'!C319</f>
        <v>1105</v>
      </c>
      <c r="C318" s="72"/>
      <c r="D318" s="72"/>
      <c r="E318" s="72"/>
      <c r="F318" s="57">
        <f>'Приложение 3'!G319</f>
        <v>454.08164</v>
      </c>
      <c r="G318" s="57">
        <f>'Приложение 3'!H319</f>
        <v>454.08164</v>
      </c>
      <c r="H318" s="63">
        <f t="shared" si="4"/>
        <v>100</v>
      </c>
    </row>
    <row r="319" spans="1:8" ht="16.5" customHeight="1" outlineLevel="3">
      <c r="A319" s="44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319" s="72" t="str">
        <f>'Приложение 3'!C320</f>
        <v>1105</v>
      </c>
      <c r="C319" s="72" t="str">
        <f>'Приложение 3'!D320</f>
        <v>17</v>
      </c>
      <c r="D319" s="72">
        <f>'Приложение 3'!E320</f>
        <v>0</v>
      </c>
      <c r="E319" s="72"/>
      <c r="F319" s="57">
        <f>'Приложение 3'!G320</f>
        <v>454.08164</v>
      </c>
      <c r="G319" s="57">
        <f>'Приложение 3'!H320</f>
        <v>454.08164</v>
      </c>
      <c r="H319" s="63">
        <f t="shared" si="4"/>
        <v>100</v>
      </c>
    </row>
    <row r="320" spans="1:8" ht="13.5" customHeight="1" outlineLevel="3">
      <c r="A320" s="44" t="str">
        <f>'Приложение 3'!A321</f>
        <v>Закупка товаров, работ и услуг для государственных (муниципальных) нужд</v>
      </c>
      <c r="B320" s="72" t="str">
        <f>'Приложение 3'!C321</f>
        <v>1105</v>
      </c>
      <c r="C320" s="72" t="str">
        <f>'Приложение 3'!D321</f>
        <v>17</v>
      </c>
      <c r="D320" s="72">
        <f>'Приложение 3'!E321</f>
        <v>0</v>
      </c>
      <c r="E320" s="72">
        <f>'Приложение 3'!F321</f>
        <v>200</v>
      </c>
      <c r="F320" s="57">
        <f>'Приложение 3'!G321</f>
        <v>438.08164</v>
      </c>
      <c r="G320" s="57">
        <f>'Приложение 3'!H321</f>
        <v>438.08164</v>
      </c>
      <c r="H320" s="63">
        <f t="shared" si="4"/>
        <v>100</v>
      </c>
    </row>
    <row r="321" spans="1:8" ht="13.5" customHeight="1" outlineLevel="3">
      <c r="A321" s="44" t="str">
        <f>'Приложение 3'!A322</f>
        <v>Социальное обеспечение и иные выплаты населению</v>
      </c>
      <c r="B321" s="72" t="str">
        <f>'Приложение 3'!C322</f>
        <v>1105</v>
      </c>
      <c r="C321" s="72" t="str">
        <f>'Приложение 3'!D322</f>
        <v>17</v>
      </c>
      <c r="D321" s="72">
        <f>'Приложение 3'!E322</f>
        <v>0</v>
      </c>
      <c r="E321" s="72">
        <f>'Приложение 3'!F322</f>
        <v>300</v>
      </c>
      <c r="F321" s="57">
        <f>'Приложение 3'!G322</f>
        <v>16</v>
      </c>
      <c r="G321" s="57">
        <f>'Приложение 3'!H322</f>
        <v>16</v>
      </c>
      <c r="H321" s="63">
        <f t="shared" si="4"/>
        <v>100</v>
      </c>
    </row>
    <row r="322" spans="1:8" ht="11.25" customHeight="1" outlineLevel="1">
      <c r="A322" s="44" t="str">
        <f>'Приложение 3'!A323</f>
        <v>Средства массовой информации </v>
      </c>
      <c r="B322" s="72" t="str">
        <f>'Приложение 3'!C323</f>
        <v>1200</v>
      </c>
      <c r="C322" s="72"/>
      <c r="D322" s="72"/>
      <c r="E322" s="72"/>
      <c r="F322" s="57">
        <f>'Приложение 3'!G323</f>
        <v>2181.1</v>
      </c>
      <c r="G322" s="57">
        <f>'Приложение 3'!H323</f>
        <v>2181.1</v>
      </c>
      <c r="H322" s="63">
        <f t="shared" si="4"/>
        <v>100</v>
      </c>
    </row>
    <row r="323" spans="1:8" ht="16.5" customHeight="1" outlineLevel="2">
      <c r="A323" s="44" t="str">
        <f>'Приложение 3'!A324</f>
        <v>Периодическая печать и издательство</v>
      </c>
      <c r="B323" s="72" t="str">
        <f>'Приложение 3'!C324</f>
        <v>1202</v>
      </c>
      <c r="C323" s="72"/>
      <c r="D323" s="72"/>
      <c r="E323" s="72"/>
      <c r="F323" s="57">
        <f>'Приложение 3'!G324</f>
        <v>2181.1</v>
      </c>
      <c r="G323" s="57">
        <f>'Приложение 3'!H324</f>
        <v>2181.1</v>
      </c>
      <c r="H323" s="63">
        <f t="shared" si="4"/>
        <v>100</v>
      </c>
    </row>
    <row r="324" spans="1:8" ht="36" outlineLevel="2">
      <c r="A324" s="44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4" s="72" t="str">
        <f>'Приложение 3'!C325</f>
        <v>1202</v>
      </c>
      <c r="C324" s="72" t="str">
        <f>'Приложение 3'!D325</f>
        <v>61</v>
      </c>
      <c r="D324" s="72">
        <f>'Приложение 3'!E325</f>
        <v>0</v>
      </c>
      <c r="E324" s="72"/>
      <c r="F324" s="57">
        <f>'Приложение 3'!G325</f>
        <v>2181.1</v>
      </c>
      <c r="G324" s="57">
        <f>'Приложение 3'!H325</f>
        <v>2181.1</v>
      </c>
      <c r="H324" s="63">
        <f t="shared" si="4"/>
        <v>100</v>
      </c>
    </row>
    <row r="325" spans="1:8" ht="24" outlineLevel="5">
      <c r="A325" s="44" t="str">
        <f>'Приложение 3'!A326</f>
        <v>Предоставление субсидий бюджетным, автономным учреждениям и иным некоммерческим организациям</v>
      </c>
      <c r="B325" s="72" t="str">
        <f>'Приложение 3'!C326</f>
        <v>1202</v>
      </c>
      <c r="C325" s="72" t="str">
        <f>'Приложение 3'!D326</f>
        <v>61</v>
      </c>
      <c r="D325" s="72">
        <f>'Приложение 3'!E326</f>
        <v>0</v>
      </c>
      <c r="E325" s="72">
        <f>'Приложение 3'!F326</f>
        <v>600</v>
      </c>
      <c r="F325" s="57">
        <f>'Приложение 3'!G326</f>
        <v>1200</v>
      </c>
      <c r="G325" s="57">
        <f>'Приложение 3'!H326</f>
        <v>1200</v>
      </c>
      <c r="H325" s="63">
        <f t="shared" si="4"/>
        <v>100</v>
      </c>
    </row>
    <row r="326" spans="1:8" ht="96" outlineLevel="5">
      <c r="A326" s="44" t="str">
        <f>'Приложение 3'!A327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6" s="72" t="str">
        <f>'Приложение 3'!C327</f>
        <v>1202</v>
      </c>
      <c r="C326" s="72" t="str">
        <f>'Приложение 3'!D327</f>
        <v>61</v>
      </c>
      <c r="D326" s="72">
        <f>'Приложение 3'!E327</f>
        <v>0</v>
      </c>
      <c r="E326" s="72">
        <f>'Приложение 3'!F327</f>
        <v>600</v>
      </c>
      <c r="F326" s="57">
        <f>'Приложение 3'!G327</f>
        <v>981.1</v>
      </c>
      <c r="G326" s="57">
        <f>'Приложение 3'!H327</f>
        <v>981.1</v>
      </c>
      <c r="H326" s="63">
        <f t="shared" si="4"/>
        <v>100</v>
      </c>
    </row>
    <row r="327" spans="1:8" ht="21" customHeight="1" outlineLevel="5">
      <c r="A327" s="44" t="str">
        <f>'Приложение 3'!A328</f>
        <v>Обслуживание государственного и муниципального долга </v>
      </c>
      <c r="B327" s="72" t="str">
        <f>'Приложение 3'!C328</f>
        <v>1300</v>
      </c>
      <c r="C327" s="72"/>
      <c r="D327" s="72"/>
      <c r="E327" s="72"/>
      <c r="F327" s="57">
        <f>'Приложение 3'!G328</f>
        <v>312.57151</v>
      </c>
      <c r="G327" s="57">
        <f>'Приложение 3'!H328</f>
        <v>312.57151</v>
      </c>
      <c r="H327" s="63">
        <f t="shared" si="4"/>
        <v>100</v>
      </c>
    </row>
    <row r="328" spans="1:8" ht="24" outlineLevel="5">
      <c r="A328" s="44" t="str">
        <f>'Приложение 3'!A329</f>
        <v>Обслуживание государственного внутреннего и муниципального долга</v>
      </c>
      <c r="B328" s="72" t="str">
        <f>'Приложение 3'!C329</f>
        <v>1301</v>
      </c>
      <c r="C328" s="72"/>
      <c r="D328" s="72"/>
      <c r="E328" s="72"/>
      <c r="F328" s="57">
        <f>'Приложение 3'!G329</f>
        <v>312.57151</v>
      </c>
      <c r="G328" s="57">
        <f>'Приложение 3'!H329</f>
        <v>312.57151</v>
      </c>
      <c r="H328" s="63">
        <f t="shared" si="4"/>
        <v>100</v>
      </c>
    </row>
    <row r="329" spans="1:8" ht="24" outlineLevel="5">
      <c r="A329" s="44" t="str">
        <f>'Приложение 3'!A330</f>
        <v>Непрограммные расходы органов местного самоуправления Алексеевского муниципального района</v>
      </c>
      <c r="B329" s="72" t="str">
        <f>'Приложение 3'!C330</f>
        <v>1301</v>
      </c>
      <c r="C329" s="72" t="str">
        <f>'Приложение 3'!D330</f>
        <v>99</v>
      </c>
      <c r="D329" s="72">
        <f>'Приложение 3'!E330</f>
        <v>0</v>
      </c>
      <c r="E329" s="72"/>
      <c r="F329" s="57">
        <f>'Приложение 3'!G330</f>
        <v>312.57151</v>
      </c>
      <c r="G329" s="57">
        <f>'Приложение 3'!H330</f>
        <v>312.57151</v>
      </c>
      <c r="H329" s="63">
        <f t="shared" si="4"/>
        <v>100</v>
      </c>
    </row>
    <row r="330" spans="1:8" ht="12.75" outlineLevel="5">
      <c r="A330" s="44" t="str">
        <f>'Приложение 3'!A331</f>
        <v>Обслуживание государственного (муниципального) долга </v>
      </c>
      <c r="B330" s="72" t="str">
        <f>'Приложение 3'!C331</f>
        <v>1301</v>
      </c>
      <c r="C330" s="72" t="str">
        <f>'Приложение 3'!D331</f>
        <v>99</v>
      </c>
      <c r="D330" s="72">
        <f>'Приложение 3'!E331</f>
        <v>0</v>
      </c>
      <c r="E330" s="72">
        <f>'Приложение 3'!F331</f>
        <v>700</v>
      </c>
      <c r="F330" s="57">
        <f>'Приложение 3'!G331</f>
        <v>312.57151</v>
      </c>
      <c r="G330" s="57">
        <f>'Приложение 3'!H331</f>
        <v>312.57151</v>
      </c>
      <c r="H330" s="63">
        <f aca="true" t="shared" si="5" ref="H330:H335">SUM(G330/F330)*100</f>
        <v>100</v>
      </c>
    </row>
    <row r="331" spans="1:8" ht="30.75" customHeight="1" outlineLevel="5">
      <c r="A331" s="44" t="str">
        <f>'Приложение 3'!A332</f>
        <v>Межбюджетные трансферты общего характера бюджетам бюджетной системы Российской Федерации</v>
      </c>
      <c r="B331" s="72" t="str">
        <f>'Приложение 3'!C332</f>
        <v>1400</v>
      </c>
      <c r="C331" s="72"/>
      <c r="D331" s="72"/>
      <c r="E331" s="72"/>
      <c r="F331" s="57">
        <f>'Приложение 3'!G332</f>
        <v>18627.49861</v>
      </c>
      <c r="G331" s="57">
        <f>'Приложение 3'!H332</f>
        <v>18503.7486</v>
      </c>
      <c r="H331" s="63">
        <f t="shared" si="5"/>
        <v>99.33565953974322</v>
      </c>
    </row>
    <row r="332" spans="1:8" ht="18.75" customHeight="1" outlineLevel="5">
      <c r="A332" s="44" t="str">
        <f>'Приложение 3'!A333</f>
        <v>Прочие межбюджетные трансферты общего характера</v>
      </c>
      <c r="B332" s="72" t="str">
        <f>'Приложение 3'!C333</f>
        <v>1403</v>
      </c>
      <c r="C332" s="72"/>
      <c r="D332" s="72"/>
      <c r="E332" s="72"/>
      <c r="F332" s="57">
        <f>'Приложение 3'!G333</f>
        <v>18627.49861</v>
      </c>
      <c r="G332" s="57">
        <f>'Приложение 3'!H333</f>
        <v>18503.7486</v>
      </c>
      <c r="H332" s="63">
        <f t="shared" si="5"/>
        <v>99.33565953974322</v>
      </c>
    </row>
    <row r="333" spans="1:8" ht="17.25" customHeight="1" outlineLevel="5">
      <c r="A333" s="44" t="str">
        <f>'Приложение 3'!A334</f>
        <v>Непрограммные расходы органов местного самоуправления Алексеевского муниципального района</v>
      </c>
      <c r="B333" s="72" t="str">
        <f>'Приложение 3'!C334</f>
        <v>1403</v>
      </c>
      <c r="C333" s="72" t="str">
        <f>'Приложение 3'!D334</f>
        <v>99</v>
      </c>
      <c r="D333" s="72">
        <f>'Приложение 3'!E334</f>
        <v>0</v>
      </c>
      <c r="E333" s="72"/>
      <c r="F333" s="57">
        <f>'Приложение 3'!G334</f>
        <v>18627.49861</v>
      </c>
      <c r="G333" s="57">
        <f>'Приложение 3'!H334</f>
        <v>18503.7486</v>
      </c>
      <c r="H333" s="63">
        <f t="shared" si="5"/>
        <v>99.33565953974322</v>
      </c>
    </row>
    <row r="334" spans="1:8" ht="12.75">
      <c r="A334" s="44" t="str">
        <f>'Приложение 3'!A335</f>
        <v>Межбюджетные трансферты</v>
      </c>
      <c r="B334" s="72" t="str">
        <f>'Приложение 3'!C335</f>
        <v>1403</v>
      </c>
      <c r="C334" s="72" t="str">
        <f>'Приложение 3'!D335</f>
        <v>99</v>
      </c>
      <c r="D334" s="72">
        <f>'Приложение 3'!E335</f>
        <v>0</v>
      </c>
      <c r="E334" s="72">
        <f>'Приложение 3'!F335</f>
        <v>500</v>
      </c>
      <c r="F334" s="57">
        <f>'Приложение 3'!G335</f>
        <v>18627.49861</v>
      </c>
      <c r="G334" s="57">
        <f>'Приложение 3'!H335</f>
        <v>18503.7486</v>
      </c>
      <c r="H334" s="63">
        <f t="shared" si="5"/>
        <v>99.33565953974322</v>
      </c>
    </row>
    <row r="335" spans="1:8" ht="12.75">
      <c r="A335" s="44" t="str">
        <f>'Приложение 3'!A336</f>
        <v>Всего </v>
      </c>
      <c r="B335" s="72"/>
      <c r="C335" s="72"/>
      <c r="D335" s="72"/>
      <c r="E335" s="72"/>
      <c r="F335" s="57">
        <f>'Приложение 3'!G336</f>
        <v>572646.8150299999</v>
      </c>
      <c r="G335" s="57">
        <f>'Приложение 3'!H336</f>
        <v>569008.31394</v>
      </c>
      <c r="H335" s="63">
        <f t="shared" si="5"/>
        <v>99.36461689919479</v>
      </c>
    </row>
    <row r="336" spans="1:8" ht="12.75">
      <c r="A336" s="2"/>
      <c r="B336" s="2"/>
      <c r="C336" s="2"/>
      <c r="D336" s="2"/>
      <c r="E336" s="2"/>
      <c r="F336" s="35">
        <f>SUM('Приложение 3'!G336)</f>
        <v>572646.8150299999</v>
      </c>
      <c r="G336" s="35">
        <f>SUM('Приложение 3'!H336)</f>
        <v>569008.31394</v>
      </c>
      <c r="H336" s="35">
        <f>SUM('Приложение 3'!I336)</f>
        <v>99.36461689919479</v>
      </c>
    </row>
    <row r="337" spans="1:5" ht="12.75">
      <c r="A337" s="2"/>
      <c r="B337" s="2"/>
      <c r="C337" s="2"/>
      <c r="D337" s="2"/>
      <c r="E337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view="pageBreakPreview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A83" sqref="A8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7.421875" style="2" customWidth="1"/>
    <col min="10" max="16384" width="9.140625" style="2" customWidth="1"/>
  </cols>
  <sheetData>
    <row r="1" spans="3:7" ht="18.75" customHeight="1">
      <c r="C1" s="115" t="s">
        <v>217</v>
      </c>
      <c r="D1" s="115"/>
      <c r="E1" s="115"/>
      <c r="F1" s="115"/>
      <c r="G1" s="115"/>
    </row>
    <row r="2" spans="3:7" ht="18.75" customHeight="1">
      <c r="C2" s="115" t="s">
        <v>122</v>
      </c>
      <c r="D2" s="115"/>
      <c r="E2" s="115"/>
      <c r="F2" s="115"/>
      <c r="G2" s="115"/>
    </row>
    <row r="3" spans="3:7" ht="18.75" customHeight="1">
      <c r="C3" s="115" t="s">
        <v>123</v>
      </c>
      <c r="D3" s="115"/>
      <c r="E3" s="115"/>
      <c r="F3" s="115"/>
      <c r="G3" s="115"/>
    </row>
    <row r="4" spans="1:7" ht="21.75" customHeight="1">
      <c r="A4" s="8"/>
      <c r="B4" s="1"/>
      <c r="C4" s="115" t="s">
        <v>149</v>
      </c>
      <c r="D4" s="115"/>
      <c r="E4" s="115"/>
      <c r="F4" s="115"/>
      <c r="G4" s="115"/>
    </row>
    <row r="5" spans="1:7" ht="36.75" customHeight="1">
      <c r="A5" s="122" t="s">
        <v>318</v>
      </c>
      <c r="B5" s="122"/>
      <c r="C5" s="122"/>
      <c r="D5" s="122"/>
      <c r="E5" s="122"/>
      <c r="F5" s="122"/>
      <c r="G5" s="122"/>
    </row>
    <row r="6" spans="1:7" ht="12.75" hidden="1">
      <c r="A6" s="29"/>
      <c r="B6" s="30"/>
      <c r="C6" s="31"/>
      <c r="D6" s="32"/>
      <c r="E6" s="16"/>
      <c r="F6" s="16"/>
      <c r="G6" s="16"/>
    </row>
    <row r="7" spans="1:7" ht="12.75" customHeight="1">
      <c r="A7" s="29"/>
      <c r="B7" s="30"/>
      <c r="C7" s="31"/>
      <c r="D7" s="32"/>
      <c r="E7" s="123"/>
      <c r="F7" s="123"/>
      <c r="G7" s="78" t="s">
        <v>290</v>
      </c>
    </row>
    <row r="8" spans="1:7" ht="72.75" customHeight="1">
      <c r="A8" s="49" t="s">
        <v>1</v>
      </c>
      <c r="B8" s="84" t="s">
        <v>172</v>
      </c>
      <c r="C8" s="85" t="s">
        <v>8</v>
      </c>
      <c r="D8" s="89" t="s">
        <v>171</v>
      </c>
      <c r="E8" s="33" t="s">
        <v>344</v>
      </c>
      <c r="F8" s="33" t="s">
        <v>346</v>
      </c>
      <c r="G8" s="33" t="s">
        <v>345</v>
      </c>
    </row>
    <row r="9" spans="1:7" ht="39" customHeight="1" outlineLevel="2">
      <c r="A9" s="50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4" t="str">
        <f>'Приложение 3'!D49</f>
        <v>01</v>
      </c>
      <c r="C9" s="64">
        <f>'Приложение 3'!E49</f>
        <v>0</v>
      </c>
      <c r="D9" s="64" t="s">
        <v>173</v>
      </c>
      <c r="E9" s="65">
        <f>SUM('Приложение 3'!G49)</f>
        <v>52.92168</v>
      </c>
      <c r="F9" s="65">
        <f>SUM('Приложение 3'!H49)</f>
        <v>52.92168</v>
      </c>
      <c r="G9" s="63">
        <f aca="true" t="shared" si="0" ref="G9:G72">SUM(F9/E9)*100</f>
        <v>100</v>
      </c>
    </row>
    <row r="10" spans="1:7" ht="17.25" customHeight="1" outlineLevel="2">
      <c r="A10" s="51" t="s">
        <v>179</v>
      </c>
      <c r="B10" s="37" t="s">
        <v>2</v>
      </c>
      <c r="C10" s="37" t="s">
        <v>9</v>
      </c>
      <c r="D10" s="37" t="s">
        <v>2</v>
      </c>
      <c r="E10" s="63">
        <f>SUM('Приложение 3'!G50)</f>
        <v>52.92168</v>
      </c>
      <c r="F10" s="63">
        <f>SUM('Приложение 3'!H50)</f>
        <v>52.92168</v>
      </c>
      <c r="G10" s="63">
        <f t="shared" si="0"/>
        <v>100</v>
      </c>
    </row>
    <row r="11" spans="1:7" ht="40.5" customHeight="1" outlineLevel="5">
      <c r="A11" s="47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4" t="s">
        <v>6</v>
      </c>
      <c r="C11" s="66">
        <v>0</v>
      </c>
      <c r="D11" s="64" t="s">
        <v>173</v>
      </c>
      <c r="E11" s="65">
        <f>SUM(E12+E18+E15)</f>
        <v>23042.85141</v>
      </c>
      <c r="F11" s="65">
        <f>SUM(F12+F18+F15)</f>
        <v>23020.13714</v>
      </c>
      <c r="G11" s="63">
        <f t="shared" si="0"/>
        <v>99.90142595811669</v>
      </c>
    </row>
    <row r="12" spans="1:7" ht="49.5" customHeight="1" outlineLevel="5">
      <c r="A12" s="47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4" t="s">
        <v>6</v>
      </c>
      <c r="C12" s="66">
        <v>1</v>
      </c>
      <c r="D12" s="64" t="s">
        <v>173</v>
      </c>
      <c r="E12" s="65">
        <f>SUM(E13:E14)</f>
        <v>6548</v>
      </c>
      <c r="F12" s="65">
        <f>SUM(F13:F14)</f>
        <v>6548</v>
      </c>
      <c r="G12" s="63">
        <f t="shared" si="0"/>
        <v>100</v>
      </c>
    </row>
    <row r="13" spans="1:7" ht="27" customHeight="1">
      <c r="A13" s="51" t="s">
        <v>183</v>
      </c>
      <c r="B13" s="37" t="s">
        <v>6</v>
      </c>
      <c r="C13" s="37" t="s">
        <v>176</v>
      </c>
      <c r="D13" s="37" t="s">
        <v>2</v>
      </c>
      <c r="E13" s="63">
        <f>SUM('Приложение 3'!G138)</f>
        <v>4214.66666</v>
      </c>
      <c r="F13" s="63">
        <f>SUM('Приложение 3'!H138)</f>
        <v>4214.66666</v>
      </c>
      <c r="G13" s="63">
        <f t="shared" si="0"/>
        <v>100</v>
      </c>
    </row>
    <row r="14" spans="1:7" ht="27" customHeight="1">
      <c r="A14" s="51" t="s">
        <v>324</v>
      </c>
      <c r="B14" s="37" t="s">
        <v>6</v>
      </c>
      <c r="C14" s="37" t="s">
        <v>176</v>
      </c>
      <c r="D14" s="37" t="s">
        <v>6</v>
      </c>
      <c r="E14" s="63">
        <f>SUM('Приложение 3'!G137)</f>
        <v>2333.33334</v>
      </c>
      <c r="F14" s="63">
        <f>SUM('Приложение 3'!H137)</f>
        <v>2333.33334</v>
      </c>
      <c r="G14" s="63">
        <f t="shared" si="0"/>
        <v>100</v>
      </c>
    </row>
    <row r="15" spans="1:7" ht="27" customHeight="1">
      <c r="A15" s="4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4" t="s">
        <v>6</v>
      </c>
      <c r="C15" s="66">
        <v>3</v>
      </c>
      <c r="D15" s="64" t="s">
        <v>173</v>
      </c>
      <c r="E15" s="65">
        <f>SUM(E16:E17)</f>
        <v>14568.19573</v>
      </c>
      <c r="F15" s="65">
        <f>SUM(F16:F17)</f>
        <v>14545.481459999999</v>
      </c>
      <c r="G15" s="63">
        <f t="shared" si="0"/>
        <v>99.84408316293263</v>
      </c>
    </row>
    <row r="16" spans="1:7" ht="36">
      <c r="A16" s="46" t="s">
        <v>206</v>
      </c>
      <c r="B16" s="37" t="s">
        <v>6</v>
      </c>
      <c r="C16" s="37" t="s">
        <v>178</v>
      </c>
      <c r="D16" s="37" t="s">
        <v>2</v>
      </c>
      <c r="E16" s="63">
        <f>SUM('Приложение 3'!G279+'Приложение 3'!G160+'Приложение 3'!G139)</f>
        <v>3493.94661</v>
      </c>
      <c r="F16" s="63">
        <f>SUM('Приложение 3'!H279+'Приложение 3'!H160+'Приложение 3'!H139)</f>
        <v>3493.94661</v>
      </c>
      <c r="G16" s="63">
        <f t="shared" si="0"/>
        <v>100</v>
      </c>
    </row>
    <row r="17" spans="1:7" ht="24">
      <c r="A17" s="51" t="s">
        <v>197</v>
      </c>
      <c r="B17" s="37" t="s">
        <v>6</v>
      </c>
      <c r="C17" s="37" t="s">
        <v>178</v>
      </c>
      <c r="D17" s="37" t="s">
        <v>6</v>
      </c>
      <c r="E17" s="63">
        <f>SUM('Приложение 3'!G161+'Приложение 3'!G182+'Приложение 3'!G65+'Приложение 3'!G220+'Приложение 3'!G253)</f>
        <v>11074.24912</v>
      </c>
      <c r="F17" s="63">
        <f>SUM('Приложение 3'!H161+'Приложение 3'!H182+'Приложение 3'!H65+'Приложение 3'!H220+'Приложение 3'!H253)</f>
        <v>11051.53485</v>
      </c>
      <c r="G17" s="63">
        <f t="shared" si="0"/>
        <v>99.7948911049962</v>
      </c>
    </row>
    <row r="18" spans="1:7" ht="36" customHeight="1">
      <c r="A18" s="50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4" t="s">
        <v>6</v>
      </c>
      <c r="C18" s="64" t="s">
        <v>184</v>
      </c>
      <c r="D18" s="64" t="s">
        <v>173</v>
      </c>
      <c r="E18" s="65">
        <f>SUM(E19:E20)</f>
        <v>1926.65568</v>
      </c>
      <c r="F18" s="65">
        <f>SUM(F19:F20)</f>
        <v>1926.65568</v>
      </c>
      <c r="G18" s="63">
        <f t="shared" si="0"/>
        <v>100</v>
      </c>
    </row>
    <row r="19" spans="1:7" ht="27.75" customHeight="1">
      <c r="A19" s="51" t="s">
        <v>213</v>
      </c>
      <c r="B19" s="37" t="s">
        <v>6</v>
      </c>
      <c r="C19" s="37" t="s">
        <v>184</v>
      </c>
      <c r="D19" s="37" t="s">
        <v>2</v>
      </c>
      <c r="E19" s="63">
        <f>SUM('Приложение 3'!G67+'Приложение 3'!G163+'Приложение 3'!G187+'Приложение 3'!G186+'Приложение 3'!G141)</f>
        <v>874.0241000000001</v>
      </c>
      <c r="F19" s="63">
        <f>SUM('Приложение 3'!H67+'Приложение 3'!H163+'Приложение 3'!H187+'Приложение 3'!H186+'Приложение 3'!H141)</f>
        <v>874.0241000000001</v>
      </c>
      <c r="G19" s="63">
        <f t="shared" si="0"/>
        <v>100</v>
      </c>
    </row>
    <row r="20" spans="1:7" ht="48">
      <c r="A20" s="51" t="s">
        <v>282</v>
      </c>
      <c r="B20" s="37" t="s">
        <v>6</v>
      </c>
      <c r="C20" s="37" t="s">
        <v>184</v>
      </c>
      <c r="D20" s="37" t="s">
        <v>6</v>
      </c>
      <c r="E20" s="63">
        <f>SUM('Приложение 3'!G188)</f>
        <v>1052.63158</v>
      </c>
      <c r="F20" s="63">
        <f>SUM('Приложение 3'!H188)</f>
        <v>1052.63158</v>
      </c>
      <c r="G20" s="63">
        <f t="shared" si="0"/>
        <v>100</v>
      </c>
    </row>
    <row r="21" spans="1:7" ht="27.75" customHeight="1">
      <c r="A21" s="50" t="str">
        <f>'Приложение 3'!A143</f>
        <v>Муниципальная программа "Комплексное развитие сельских территорий"</v>
      </c>
      <c r="B21" s="64" t="s">
        <v>12</v>
      </c>
      <c r="C21" s="64" t="s">
        <v>9</v>
      </c>
      <c r="D21" s="64" t="s">
        <v>173</v>
      </c>
      <c r="E21" s="65">
        <f>SUM(E22:E23)</f>
        <v>116263.70499999999</v>
      </c>
      <c r="F21" s="65">
        <f>SUM(F22:F23)</f>
        <v>116263.70499999999</v>
      </c>
      <c r="G21" s="63">
        <f t="shared" si="0"/>
        <v>100</v>
      </c>
    </row>
    <row r="22" spans="1:7" ht="27.75" customHeight="1">
      <c r="A22" s="46" t="s">
        <v>280</v>
      </c>
      <c r="B22" s="37" t="s">
        <v>12</v>
      </c>
      <c r="C22" s="37" t="s">
        <v>9</v>
      </c>
      <c r="D22" s="37" t="s">
        <v>6</v>
      </c>
      <c r="E22" s="63">
        <f>SUM('Приложение 3'!G149+'Приложение 3'!G121)</f>
        <v>4553.817</v>
      </c>
      <c r="F22" s="63">
        <f>SUM('Приложение 3'!H149+'Приложение 3'!H121)</f>
        <v>4553.817</v>
      </c>
      <c r="G22" s="63">
        <f t="shared" si="0"/>
        <v>100</v>
      </c>
    </row>
    <row r="23" spans="1:7" ht="27" customHeight="1">
      <c r="A23" s="46" t="s">
        <v>279</v>
      </c>
      <c r="B23" s="37" t="s">
        <v>12</v>
      </c>
      <c r="C23" s="37" t="s">
        <v>9</v>
      </c>
      <c r="D23" s="37" t="s">
        <v>13</v>
      </c>
      <c r="E23" s="63">
        <f>SUM('Приложение 3'!G143+'Приложение 3'!G312)</f>
        <v>111709.88799999999</v>
      </c>
      <c r="F23" s="63">
        <f>SUM('Приложение 3'!H143+'Приложение 3'!H312)</f>
        <v>111709.88799999999</v>
      </c>
      <c r="G23" s="63">
        <f t="shared" si="0"/>
        <v>100</v>
      </c>
    </row>
    <row r="24" spans="1:7" ht="39.75" customHeight="1">
      <c r="A24" s="47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4" t="s">
        <v>13</v>
      </c>
      <c r="C24" s="64" t="s">
        <v>9</v>
      </c>
      <c r="D24" s="64" t="s">
        <v>173</v>
      </c>
      <c r="E24" s="65">
        <f>SUM('Приложение 3'!G124)</f>
        <v>100</v>
      </c>
      <c r="F24" s="65">
        <f>SUM('Приложение 3'!H124)</f>
        <v>100</v>
      </c>
      <c r="G24" s="63">
        <f t="shared" si="0"/>
        <v>100</v>
      </c>
    </row>
    <row r="25" spans="1:7" ht="36">
      <c r="A25" s="51" t="s">
        <v>185</v>
      </c>
      <c r="B25" s="37" t="s">
        <v>13</v>
      </c>
      <c r="C25" s="37" t="s">
        <v>9</v>
      </c>
      <c r="D25" s="37" t="s">
        <v>2</v>
      </c>
      <c r="E25" s="63">
        <f>SUM('Приложение 3'!G125)</f>
        <v>0</v>
      </c>
      <c r="F25" s="63">
        <f>SUM('Приложение 3'!H125)</f>
        <v>0</v>
      </c>
      <c r="G25" s="63" t="e">
        <f t="shared" si="0"/>
        <v>#DIV/0!</v>
      </c>
    </row>
    <row r="26" spans="1:7" ht="22.5" customHeight="1">
      <c r="A26" s="51" t="s">
        <v>186</v>
      </c>
      <c r="B26" s="37" t="s">
        <v>13</v>
      </c>
      <c r="C26" s="37" t="s">
        <v>9</v>
      </c>
      <c r="D26" s="37" t="s">
        <v>6</v>
      </c>
      <c r="E26" s="63">
        <f>SUM('Приложение 3'!G127)</f>
        <v>100</v>
      </c>
      <c r="F26" s="63">
        <f>SUM('Приложение 3'!H127)</f>
        <v>100</v>
      </c>
      <c r="G26" s="63">
        <f t="shared" si="0"/>
        <v>100</v>
      </c>
    </row>
    <row r="27" spans="1:7" ht="35.25" customHeight="1" hidden="1">
      <c r="A27" s="51" t="s">
        <v>238</v>
      </c>
      <c r="B27" s="37" t="s">
        <v>13</v>
      </c>
      <c r="C27" s="37" t="s">
        <v>9</v>
      </c>
      <c r="D27" s="37" t="s">
        <v>12</v>
      </c>
      <c r="E27" s="63">
        <f>SUM('Приложение 3'!G126)</f>
        <v>0</v>
      </c>
      <c r="F27" s="63">
        <f>SUM('Приложение 3'!H126)</f>
        <v>0</v>
      </c>
      <c r="G27" s="63" t="e">
        <f t="shared" si="0"/>
        <v>#DIV/0!</v>
      </c>
    </row>
    <row r="28" spans="1:7" ht="38.25" customHeight="1">
      <c r="A28" s="47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4" t="s">
        <v>15</v>
      </c>
      <c r="C28" s="64" t="s">
        <v>9</v>
      </c>
      <c r="D28" s="64" t="s">
        <v>173</v>
      </c>
      <c r="E28" s="65">
        <f>SUM('Приложение 3'!G153)</f>
        <v>0</v>
      </c>
      <c r="F28" s="65">
        <f>SUM('Приложение 3'!H153)</f>
        <v>0</v>
      </c>
      <c r="G28" s="63" t="e">
        <f t="shared" si="0"/>
        <v>#DIV/0!</v>
      </c>
    </row>
    <row r="29" spans="1:7" ht="24">
      <c r="A29" s="51" t="s">
        <v>262</v>
      </c>
      <c r="B29" s="37" t="s">
        <v>15</v>
      </c>
      <c r="C29" s="37" t="s">
        <v>9</v>
      </c>
      <c r="D29" s="37" t="s">
        <v>2</v>
      </c>
      <c r="E29" s="63">
        <f>SUM('Приложение 3'!G153)</f>
        <v>0</v>
      </c>
      <c r="F29" s="63">
        <f>SUM('Приложение 3'!H153)</f>
        <v>0</v>
      </c>
      <c r="G29" s="63" t="e">
        <f t="shared" si="0"/>
        <v>#DIV/0!</v>
      </c>
    </row>
    <row r="30" spans="1:7" ht="36">
      <c r="A30" s="47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30" s="64" t="s">
        <v>319</v>
      </c>
      <c r="C30" s="64" t="s">
        <v>9</v>
      </c>
      <c r="D30" s="64" t="s">
        <v>173</v>
      </c>
      <c r="E30" s="65">
        <f>SUM('Приложение 3'!G254)</f>
        <v>20202.03</v>
      </c>
      <c r="F30" s="65">
        <f>SUM('Приложение 3'!H254)</f>
        <v>20202.03</v>
      </c>
      <c r="G30" s="63">
        <f t="shared" si="0"/>
        <v>100</v>
      </c>
    </row>
    <row r="31" spans="1:7" ht="72">
      <c r="A31" s="51" t="s">
        <v>321</v>
      </c>
      <c r="B31" s="37" t="s">
        <v>319</v>
      </c>
      <c r="C31" s="37" t="s">
        <v>9</v>
      </c>
      <c r="D31" s="37" t="s">
        <v>320</v>
      </c>
      <c r="E31" s="63">
        <f>SUM('Приложение 3'!G254)</f>
        <v>20202.03</v>
      </c>
      <c r="F31" s="63">
        <f>SUM('Приложение 3'!H254)</f>
        <v>20202.03</v>
      </c>
      <c r="G31" s="63">
        <f t="shared" si="0"/>
        <v>100</v>
      </c>
    </row>
    <row r="32" spans="1:7" ht="62.25" customHeight="1">
      <c r="A32" s="47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4" t="s">
        <v>24</v>
      </c>
      <c r="C32" s="64" t="s">
        <v>9</v>
      </c>
      <c r="D32" s="64" t="s">
        <v>173</v>
      </c>
      <c r="E32" s="65">
        <f>SUM('Приложение 3'!G227)</f>
        <v>100</v>
      </c>
      <c r="F32" s="65">
        <f>SUM('Приложение 3'!H227)</f>
        <v>100</v>
      </c>
      <c r="G32" s="63">
        <f t="shared" si="0"/>
        <v>100</v>
      </c>
    </row>
    <row r="33" spans="1:7" ht="27.75" customHeight="1">
      <c r="A33" s="47" t="str">
        <f>'Приложение 3'!A228</f>
        <v>Подпрограмма "Комплексные меры по противодействию наркомании"</v>
      </c>
      <c r="B33" s="64" t="s">
        <v>24</v>
      </c>
      <c r="C33" s="64" t="s">
        <v>176</v>
      </c>
      <c r="D33" s="64" t="s">
        <v>173</v>
      </c>
      <c r="E33" s="65">
        <f>SUM('Приложение 3'!G228)</f>
        <v>30</v>
      </c>
      <c r="F33" s="65">
        <f>SUM('Приложение 3'!H228)</f>
        <v>30</v>
      </c>
      <c r="G33" s="63">
        <f t="shared" si="0"/>
        <v>100</v>
      </c>
    </row>
    <row r="34" spans="1:7" ht="37.5" customHeight="1">
      <c r="A34" s="51" t="s">
        <v>237</v>
      </c>
      <c r="B34" s="37" t="s">
        <v>24</v>
      </c>
      <c r="C34" s="37" t="s">
        <v>176</v>
      </c>
      <c r="D34" s="37" t="s">
        <v>2</v>
      </c>
      <c r="E34" s="63">
        <f>SUM('Приложение 3'!G229)</f>
        <v>30</v>
      </c>
      <c r="F34" s="63">
        <f>SUM('Приложение 3'!H229)</f>
        <v>30</v>
      </c>
      <c r="G34" s="63">
        <f t="shared" si="0"/>
        <v>100</v>
      </c>
    </row>
    <row r="35" spans="1:7" ht="29.25" customHeight="1" outlineLevel="1">
      <c r="A35" s="47" t="str">
        <f>'Приложение 3'!A230</f>
        <v>Подпрограмма "Реализация мероприятий молодежной политики и социальной адаптации молодежи "</v>
      </c>
      <c r="B35" s="64" t="s">
        <v>24</v>
      </c>
      <c r="C35" s="64" t="s">
        <v>177</v>
      </c>
      <c r="D35" s="64" t="s">
        <v>173</v>
      </c>
      <c r="E35" s="65">
        <f>SUM('Приложение 3'!G230)</f>
        <v>40</v>
      </c>
      <c r="F35" s="65">
        <f>SUM('Приложение 3'!H230)</f>
        <v>40</v>
      </c>
      <c r="G35" s="63">
        <f t="shared" si="0"/>
        <v>100</v>
      </c>
    </row>
    <row r="36" spans="1:7" ht="30" customHeight="1" outlineLevel="5">
      <c r="A36" s="51" t="s">
        <v>187</v>
      </c>
      <c r="B36" s="37" t="s">
        <v>24</v>
      </c>
      <c r="C36" s="37" t="s">
        <v>177</v>
      </c>
      <c r="D36" s="37" t="s">
        <v>2</v>
      </c>
      <c r="E36" s="63">
        <f>SUM('Приложение 3'!G231)</f>
        <v>40</v>
      </c>
      <c r="F36" s="63">
        <f>SUM('Приложение 3'!H231)</f>
        <v>40</v>
      </c>
      <c r="G36" s="63">
        <f t="shared" si="0"/>
        <v>100</v>
      </c>
    </row>
    <row r="37" spans="1:7" ht="42.75" customHeight="1" outlineLevel="5">
      <c r="A37" s="47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4" t="s">
        <v>24</v>
      </c>
      <c r="C37" s="64" t="s">
        <v>178</v>
      </c>
      <c r="D37" s="64" t="s">
        <v>173</v>
      </c>
      <c r="E37" s="65">
        <f>SUM('Приложение 3'!G232)</f>
        <v>30</v>
      </c>
      <c r="F37" s="65">
        <f>SUM('Приложение 3'!H232)</f>
        <v>30</v>
      </c>
      <c r="G37" s="63">
        <f t="shared" si="0"/>
        <v>100</v>
      </c>
    </row>
    <row r="38" spans="1:7" s="16" customFormat="1" ht="38.25" customHeight="1" outlineLevel="2">
      <c r="A38" s="51" t="s">
        <v>230</v>
      </c>
      <c r="B38" s="37" t="s">
        <v>24</v>
      </c>
      <c r="C38" s="38">
        <v>3</v>
      </c>
      <c r="D38" s="37" t="s">
        <v>2</v>
      </c>
      <c r="E38" s="63">
        <f>SUM('Приложение 3'!G233)</f>
        <v>30</v>
      </c>
      <c r="F38" s="63">
        <f>SUM('Приложение 3'!H233)</f>
        <v>30</v>
      </c>
      <c r="G38" s="63">
        <f t="shared" si="0"/>
        <v>100</v>
      </c>
    </row>
    <row r="39" spans="1:7" s="16" customFormat="1" ht="33.75" customHeight="1" hidden="1" outlineLevel="2">
      <c r="A39" s="51" t="s">
        <v>231</v>
      </c>
      <c r="B39" s="37" t="s">
        <v>24</v>
      </c>
      <c r="C39" s="38">
        <v>3</v>
      </c>
      <c r="D39" s="37" t="s">
        <v>6</v>
      </c>
      <c r="E39" s="63">
        <f>SUM('Приложение 3'!G234)</f>
        <v>0</v>
      </c>
      <c r="F39" s="63">
        <f>SUM('Приложение 3'!H234)</f>
        <v>0</v>
      </c>
      <c r="G39" s="63" t="e">
        <f t="shared" si="0"/>
        <v>#DIV/0!</v>
      </c>
    </row>
    <row r="40" spans="1:7" s="16" customFormat="1" ht="28.5" customHeight="1" hidden="1" outlineLevel="2">
      <c r="A40" s="51" t="s">
        <v>232</v>
      </c>
      <c r="B40" s="37" t="s">
        <v>24</v>
      </c>
      <c r="C40" s="38">
        <v>3</v>
      </c>
      <c r="D40" s="37" t="s">
        <v>12</v>
      </c>
      <c r="E40" s="63">
        <f>SUM('Приложение 3'!G235)</f>
        <v>0</v>
      </c>
      <c r="F40" s="63">
        <f>SUM('Приложение 3'!H235)</f>
        <v>0</v>
      </c>
      <c r="G40" s="63" t="e">
        <f t="shared" si="0"/>
        <v>#DIV/0!</v>
      </c>
    </row>
    <row r="41" spans="1:7" s="16" customFormat="1" ht="75" customHeight="1" outlineLevel="2">
      <c r="A41" s="47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4" t="s">
        <v>201</v>
      </c>
      <c r="C41" s="64" t="s">
        <v>9</v>
      </c>
      <c r="D41" s="64" t="s">
        <v>173</v>
      </c>
      <c r="E41" s="65">
        <f>SUM('Приложение 3'!G243)</f>
        <v>0</v>
      </c>
      <c r="F41" s="65">
        <f>SUM('Приложение 3'!H243)</f>
        <v>0</v>
      </c>
      <c r="G41" s="63" t="e">
        <f t="shared" si="0"/>
        <v>#DIV/0!</v>
      </c>
    </row>
    <row r="42" spans="1:7" s="16" customFormat="1" ht="48" customHeight="1" outlineLevel="2">
      <c r="A42" s="51" t="s">
        <v>203</v>
      </c>
      <c r="B42" s="37" t="s">
        <v>201</v>
      </c>
      <c r="C42" s="38">
        <v>0</v>
      </c>
      <c r="D42" s="37" t="s">
        <v>2</v>
      </c>
      <c r="E42" s="63">
        <f>SUM('Приложение 3'!G244)</f>
        <v>0</v>
      </c>
      <c r="F42" s="63">
        <f>SUM('Приложение 3'!H244)</f>
        <v>0</v>
      </c>
      <c r="G42" s="63" t="e">
        <f t="shared" si="0"/>
        <v>#DIV/0!</v>
      </c>
    </row>
    <row r="43" spans="1:7" s="16" customFormat="1" ht="40.5" customHeight="1" outlineLevel="2">
      <c r="A43" s="47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4" t="s">
        <v>266</v>
      </c>
      <c r="C43" s="66">
        <v>0</v>
      </c>
      <c r="D43" s="64" t="s">
        <v>173</v>
      </c>
      <c r="E43" s="65">
        <f>SUM('Приложение 3'!G128)</f>
        <v>860.5</v>
      </c>
      <c r="F43" s="65">
        <f>SUM('Приложение 3'!H128)</f>
        <v>860.5</v>
      </c>
      <c r="G43" s="63">
        <f t="shared" si="0"/>
        <v>100</v>
      </c>
    </row>
    <row r="44" spans="1:7" s="16" customFormat="1" ht="38.25" customHeight="1" outlineLevel="2">
      <c r="A44" s="51" t="s">
        <v>268</v>
      </c>
      <c r="B44" s="37" t="s">
        <v>266</v>
      </c>
      <c r="C44" s="38">
        <v>0</v>
      </c>
      <c r="D44" s="37" t="s">
        <v>2</v>
      </c>
      <c r="E44" s="63">
        <f>SUM('Приложение 3'!G129)</f>
        <v>490.50000000000006</v>
      </c>
      <c r="F44" s="63">
        <f>SUM('Приложение 3'!H129)</f>
        <v>490.50000000000006</v>
      </c>
      <c r="G44" s="63">
        <f t="shared" si="0"/>
        <v>100</v>
      </c>
    </row>
    <row r="45" spans="1:7" s="16" customFormat="1" ht="66" customHeight="1" outlineLevel="2">
      <c r="A45" s="51" t="s">
        <v>267</v>
      </c>
      <c r="B45" s="37" t="s">
        <v>266</v>
      </c>
      <c r="C45" s="38">
        <v>0</v>
      </c>
      <c r="D45" s="37" t="s">
        <v>6</v>
      </c>
      <c r="E45" s="63">
        <f>SUM('Приложение 3'!G130)</f>
        <v>370</v>
      </c>
      <c r="F45" s="63">
        <f>SUM('Приложение 3'!H130)</f>
        <v>370</v>
      </c>
      <c r="G45" s="63">
        <f t="shared" si="0"/>
        <v>100</v>
      </c>
    </row>
    <row r="46" spans="1:7" s="16" customFormat="1" ht="48" outlineLevel="2">
      <c r="A46" s="47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4" t="s">
        <v>325</v>
      </c>
      <c r="C46" s="64" t="s">
        <v>9</v>
      </c>
      <c r="D46" s="64" t="s">
        <v>173</v>
      </c>
      <c r="E46" s="65">
        <f>SUM('Приложение 3'!G274)</f>
        <v>878.0999999999999</v>
      </c>
      <c r="F46" s="65">
        <f>SUM('Приложение 3'!H274)</f>
        <v>878.0999999999999</v>
      </c>
      <c r="G46" s="63">
        <f t="shared" si="0"/>
        <v>100</v>
      </c>
    </row>
    <row r="47" spans="1:7" ht="36" outlineLevel="3">
      <c r="A47" s="46" t="s">
        <v>326</v>
      </c>
      <c r="B47" s="37" t="s">
        <v>325</v>
      </c>
      <c r="C47" s="37" t="s">
        <v>9</v>
      </c>
      <c r="D47" s="37" t="s">
        <v>2</v>
      </c>
      <c r="E47" s="63">
        <f>SUM('Приложение 3'!G275)</f>
        <v>878.0999999999999</v>
      </c>
      <c r="F47" s="63">
        <f>SUM('Приложение 3'!H275)</f>
        <v>878.0999999999999</v>
      </c>
      <c r="G47" s="63">
        <f t="shared" si="0"/>
        <v>100</v>
      </c>
    </row>
    <row r="48" spans="1:7" ht="35.25" customHeight="1">
      <c r="A48" s="47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48" s="64" t="s">
        <v>5</v>
      </c>
      <c r="C48" s="64" t="s">
        <v>9</v>
      </c>
      <c r="D48" s="64" t="s">
        <v>173</v>
      </c>
      <c r="E48" s="65">
        <f>SUM('Приложение 3'!G257)</f>
        <v>50</v>
      </c>
      <c r="F48" s="65">
        <f>SUM('Приложение 3'!H257)</f>
        <v>50</v>
      </c>
      <c r="G48" s="63">
        <f t="shared" si="0"/>
        <v>100</v>
      </c>
    </row>
    <row r="49" spans="1:7" ht="36" customHeight="1">
      <c r="A49" s="51" t="s">
        <v>188</v>
      </c>
      <c r="B49" s="37" t="s">
        <v>5</v>
      </c>
      <c r="C49" s="37" t="s">
        <v>9</v>
      </c>
      <c r="D49" s="37" t="s">
        <v>2</v>
      </c>
      <c r="E49" s="63">
        <f>SUM('Приложение 3'!G258)</f>
        <v>50</v>
      </c>
      <c r="F49" s="63">
        <f>SUM('Приложение 3'!H258)</f>
        <v>50</v>
      </c>
      <c r="G49" s="63">
        <f t="shared" si="0"/>
        <v>100</v>
      </c>
    </row>
    <row r="50" spans="1:7" ht="39" customHeight="1">
      <c r="A50" s="47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50" s="37" t="s">
        <v>4</v>
      </c>
      <c r="C50" s="37" t="s">
        <v>9</v>
      </c>
      <c r="D50" s="37" t="s">
        <v>173</v>
      </c>
      <c r="E50" s="65">
        <f>SUM('Приложение 3'!G259)</f>
        <v>37</v>
      </c>
      <c r="F50" s="65">
        <f>SUM('Приложение 3'!H259)</f>
        <v>37</v>
      </c>
      <c r="G50" s="63">
        <f t="shared" si="0"/>
        <v>100</v>
      </c>
    </row>
    <row r="51" spans="1:7" ht="27" customHeight="1">
      <c r="A51" s="51" t="s">
        <v>189</v>
      </c>
      <c r="B51" s="37" t="s">
        <v>4</v>
      </c>
      <c r="C51" s="37">
        <f>'Приложение 3'!E321</f>
        <v>0</v>
      </c>
      <c r="D51" s="37" t="s">
        <v>2</v>
      </c>
      <c r="E51" s="63">
        <f>SUM('Приложение 3'!G260)</f>
        <v>37</v>
      </c>
      <c r="F51" s="63">
        <f>SUM('Приложение 3'!H260)</f>
        <v>37</v>
      </c>
      <c r="G51" s="63">
        <f t="shared" si="0"/>
        <v>100</v>
      </c>
    </row>
    <row r="52" spans="1:7" ht="74.25" customHeight="1">
      <c r="A52" s="47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4" t="s">
        <v>7</v>
      </c>
      <c r="C52" s="64">
        <f>'Приложение 3'!E117</f>
        <v>0</v>
      </c>
      <c r="D52" s="64" t="s">
        <v>173</v>
      </c>
      <c r="E52" s="65">
        <f>SUM('Приложение 3'!G286)</f>
        <v>745.229</v>
      </c>
      <c r="F52" s="65">
        <f>SUM('Приложение 3'!H286)</f>
        <v>745.229</v>
      </c>
      <c r="G52" s="63">
        <f t="shared" si="0"/>
        <v>100</v>
      </c>
    </row>
    <row r="53" spans="1:7" ht="72" customHeight="1">
      <c r="A53" s="51" t="s">
        <v>190</v>
      </c>
      <c r="B53" s="37" t="s">
        <v>7</v>
      </c>
      <c r="C53" s="37" t="s">
        <v>9</v>
      </c>
      <c r="D53" s="37" t="s">
        <v>2</v>
      </c>
      <c r="E53" s="63">
        <f>SUM('Приложение 3'!G287)</f>
        <v>745.229</v>
      </c>
      <c r="F53" s="63">
        <f>SUM('Приложение 3'!H287)</f>
        <v>745.229</v>
      </c>
      <c r="G53" s="63">
        <f t="shared" si="0"/>
        <v>100</v>
      </c>
    </row>
    <row r="54" spans="1:7" ht="24" customHeight="1">
      <c r="A54" s="47" t="str">
        <f>'Приложение 3'!A68</f>
        <v>Муниципальная программа "Маршрут Победы на 2019-2023 годы"</v>
      </c>
      <c r="B54" s="64" t="s">
        <v>10</v>
      </c>
      <c r="C54" s="64" t="s">
        <v>9</v>
      </c>
      <c r="D54" s="64" t="s">
        <v>173</v>
      </c>
      <c r="E54" s="65">
        <f>SUM('Приложение 3'!G68)</f>
        <v>133.911</v>
      </c>
      <c r="F54" s="65">
        <f>SUM('Приложение 3'!H68)</f>
        <v>133.911</v>
      </c>
      <c r="G54" s="63">
        <f t="shared" si="0"/>
        <v>100</v>
      </c>
    </row>
    <row r="55" spans="1:7" ht="50.25" customHeight="1">
      <c r="A55" s="51" t="s">
        <v>333</v>
      </c>
      <c r="B55" s="37" t="s">
        <v>10</v>
      </c>
      <c r="C55" s="37" t="s">
        <v>9</v>
      </c>
      <c r="D55" s="37" t="s">
        <v>2</v>
      </c>
      <c r="E55" s="63">
        <f>SUM('Приложение 3'!G69)</f>
        <v>133.911</v>
      </c>
      <c r="F55" s="63">
        <f>SUM('Приложение 3'!H69)</f>
        <v>133.911</v>
      </c>
      <c r="G55" s="63">
        <f t="shared" si="0"/>
        <v>100</v>
      </c>
    </row>
    <row r="56" spans="1:7" ht="40.5" customHeight="1">
      <c r="A56" s="50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56" s="64" t="s">
        <v>18</v>
      </c>
      <c r="C56" s="64" t="s">
        <v>9</v>
      </c>
      <c r="D56" s="64" t="s">
        <v>173</v>
      </c>
      <c r="E56" s="65">
        <f>SUM(E57+E58+E59)</f>
        <v>704.08164</v>
      </c>
      <c r="F56" s="65">
        <f>SUM(F57+F58+F59)</f>
        <v>704.08164</v>
      </c>
      <c r="G56" s="63">
        <f t="shared" si="0"/>
        <v>100</v>
      </c>
    </row>
    <row r="57" spans="1:7" ht="48.75" customHeight="1">
      <c r="A57" s="51" t="s">
        <v>191</v>
      </c>
      <c r="B57" s="37" t="s">
        <v>18</v>
      </c>
      <c r="C57" s="37" t="s">
        <v>9</v>
      </c>
      <c r="D57" s="37" t="s">
        <v>2</v>
      </c>
      <c r="E57" s="63">
        <f>SUM('Приложение 3'!G320)</f>
        <v>454.08164</v>
      </c>
      <c r="F57" s="63">
        <f>SUM('Приложение 3'!H320)</f>
        <v>454.08164</v>
      </c>
      <c r="G57" s="63">
        <f t="shared" si="0"/>
        <v>100</v>
      </c>
    </row>
    <row r="58" spans="1:7" ht="39.75" customHeight="1">
      <c r="A58" s="51" t="s">
        <v>332</v>
      </c>
      <c r="B58" s="37" t="s">
        <v>18</v>
      </c>
      <c r="C58" s="37" t="s">
        <v>9</v>
      </c>
      <c r="D58" s="37" t="s">
        <v>12</v>
      </c>
      <c r="E58" s="63">
        <f>SUM('Приложение 3'!G316)</f>
        <v>250</v>
      </c>
      <c r="F58" s="63">
        <f>SUM('Приложение 3'!H316)</f>
        <v>250</v>
      </c>
      <c r="G58" s="63">
        <f t="shared" si="0"/>
        <v>100</v>
      </c>
    </row>
    <row r="59" spans="1:7" ht="72" hidden="1">
      <c r="A59" s="51" t="s">
        <v>286</v>
      </c>
      <c r="B59" s="37" t="s">
        <v>18</v>
      </c>
      <c r="C59" s="37" t="s">
        <v>9</v>
      </c>
      <c r="D59" s="37" t="s">
        <v>285</v>
      </c>
      <c r="E59" s="63">
        <f>SUM('Приложение 3'!G190+'Приложение 3'!G191)</f>
        <v>0</v>
      </c>
      <c r="F59" s="63">
        <f>SUM('Приложение 3'!H190+'Приложение 3'!H191)</f>
        <v>0</v>
      </c>
      <c r="G59" s="63" t="e">
        <f t="shared" si="0"/>
        <v>#DIV/0!</v>
      </c>
    </row>
    <row r="60" spans="1:7" ht="51" customHeight="1">
      <c r="A60" s="50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4" t="s">
        <v>146</v>
      </c>
      <c r="C60" s="64" t="s">
        <v>9</v>
      </c>
      <c r="D60" s="64" t="s">
        <v>173</v>
      </c>
      <c r="E60" s="65">
        <f>SUM('Приложение 3'!G116)</f>
        <v>27595.48422</v>
      </c>
      <c r="F60" s="65">
        <f>SUM('Приложение 3'!H116)</f>
        <v>25314.192499999997</v>
      </c>
      <c r="G60" s="63">
        <f t="shared" si="0"/>
        <v>91.73309769883791</v>
      </c>
    </row>
    <row r="61" spans="1:7" ht="39.75" customHeight="1">
      <c r="A61" s="51" t="s">
        <v>233</v>
      </c>
      <c r="B61" s="37" t="s">
        <v>146</v>
      </c>
      <c r="C61" s="37" t="s">
        <v>9</v>
      </c>
      <c r="D61" s="37" t="s">
        <v>2</v>
      </c>
      <c r="E61" s="63">
        <f>SUM('Приложение 3'!G116)</f>
        <v>27595.48422</v>
      </c>
      <c r="F61" s="63">
        <f>SUM('Приложение 3'!H116)</f>
        <v>25314.192499999997</v>
      </c>
      <c r="G61" s="63">
        <f t="shared" si="0"/>
        <v>91.73309769883791</v>
      </c>
    </row>
    <row r="62" spans="1:7" ht="54" customHeight="1">
      <c r="A62" s="50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4" t="s">
        <v>148</v>
      </c>
      <c r="C62" s="64" t="s">
        <v>9</v>
      </c>
      <c r="D62" s="64" t="s">
        <v>173</v>
      </c>
      <c r="E62" s="65">
        <f>SUM(E63+E65)</f>
        <v>0</v>
      </c>
      <c r="F62" s="65">
        <f>SUM(F63+F65)</f>
        <v>0</v>
      </c>
      <c r="G62" s="63" t="e">
        <f t="shared" si="0"/>
        <v>#DIV/0!</v>
      </c>
    </row>
    <row r="63" spans="1:7" ht="18" customHeight="1">
      <c r="A63" s="50" t="str">
        <f>'Приложение 3'!A71</f>
        <v>Подпрограмма "Профилактика правонарушений"</v>
      </c>
      <c r="B63" s="64" t="s">
        <v>148</v>
      </c>
      <c r="C63" s="64" t="s">
        <v>176</v>
      </c>
      <c r="D63" s="64" t="s">
        <v>173</v>
      </c>
      <c r="E63" s="65">
        <f>SUM('Приложение 3'!G71)</f>
        <v>0</v>
      </c>
      <c r="F63" s="65">
        <f>SUM('Приложение 3'!H71)</f>
        <v>0</v>
      </c>
      <c r="G63" s="63" t="e">
        <f t="shared" si="0"/>
        <v>#DIV/0!</v>
      </c>
    </row>
    <row r="64" spans="1:7" ht="30.75" customHeight="1">
      <c r="A64" s="51" t="s">
        <v>269</v>
      </c>
      <c r="B64" s="37" t="s">
        <v>148</v>
      </c>
      <c r="C64" s="37" t="s">
        <v>176</v>
      </c>
      <c r="D64" s="37" t="s">
        <v>2</v>
      </c>
      <c r="E64" s="63">
        <f>SUM('Приложение 3'!G72)</f>
        <v>0</v>
      </c>
      <c r="F64" s="63">
        <f>SUM('Приложение 3'!H72)</f>
        <v>0</v>
      </c>
      <c r="G64" s="63" t="e">
        <f t="shared" si="0"/>
        <v>#DIV/0!</v>
      </c>
    </row>
    <row r="65" spans="1:7" ht="24.75" customHeight="1">
      <c r="A65" s="50" t="str">
        <f>'Приложение 3'!A73</f>
        <v>Подпрограмма "Формирование законопослушного поведения участников дорожного движения"</v>
      </c>
      <c r="B65" s="64" t="s">
        <v>148</v>
      </c>
      <c r="C65" s="64" t="s">
        <v>177</v>
      </c>
      <c r="D65" s="64" t="s">
        <v>173</v>
      </c>
      <c r="E65" s="65">
        <f>SUM('Приложение 3'!G73)</f>
        <v>0</v>
      </c>
      <c r="F65" s="65">
        <f>SUM('Приложение 3'!H73)</f>
        <v>0</v>
      </c>
      <c r="G65" s="63" t="e">
        <f t="shared" si="0"/>
        <v>#DIV/0!</v>
      </c>
    </row>
    <row r="66" spans="1:7" ht="33" customHeight="1">
      <c r="A66" s="51" t="s">
        <v>265</v>
      </c>
      <c r="B66" s="37" t="s">
        <v>148</v>
      </c>
      <c r="C66" s="37" t="s">
        <v>177</v>
      </c>
      <c r="D66" s="37" t="s">
        <v>2</v>
      </c>
      <c r="E66" s="63">
        <f>SUM('Приложение 3'!G74)</f>
        <v>0</v>
      </c>
      <c r="F66" s="63">
        <f>SUM('Приложение 3'!H74)</f>
        <v>0</v>
      </c>
      <c r="G66" s="63" t="e">
        <f t="shared" si="0"/>
        <v>#DIV/0!</v>
      </c>
    </row>
    <row r="67" spans="1:7" ht="39.75" customHeight="1" hidden="1">
      <c r="A67" s="50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4" t="s">
        <v>215</v>
      </c>
      <c r="C67" s="64" t="s">
        <v>9</v>
      </c>
      <c r="D67" s="64" t="s">
        <v>173</v>
      </c>
      <c r="E67" s="65">
        <f>SUM('Приложение 3'!G75)</f>
        <v>0</v>
      </c>
      <c r="F67" s="65">
        <f>SUM('Приложение 3'!H75)</f>
        <v>0</v>
      </c>
      <c r="G67" s="63" t="e">
        <f t="shared" si="0"/>
        <v>#DIV/0!</v>
      </c>
    </row>
    <row r="68" spans="1:7" ht="63.75" customHeight="1" hidden="1">
      <c r="A68" s="52" t="s">
        <v>214</v>
      </c>
      <c r="B68" s="37" t="s">
        <v>215</v>
      </c>
      <c r="C68" s="37" t="s">
        <v>9</v>
      </c>
      <c r="D68" s="37" t="s">
        <v>2</v>
      </c>
      <c r="E68" s="63">
        <f>SUM('Приложение 3'!G76)</f>
        <v>0</v>
      </c>
      <c r="F68" s="63">
        <f>SUM('Приложение 3'!H76)</f>
        <v>0</v>
      </c>
      <c r="G68" s="63" t="e">
        <f t="shared" si="0"/>
        <v>#DIV/0!</v>
      </c>
    </row>
    <row r="69" spans="1:7" ht="108" customHeight="1">
      <c r="A69" s="50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4" t="s">
        <v>200</v>
      </c>
      <c r="C69" s="64" t="s">
        <v>9</v>
      </c>
      <c r="D69" s="64" t="s">
        <v>173</v>
      </c>
      <c r="E69" s="65">
        <f>SUM(E70:E72)</f>
        <v>1035.1109999999999</v>
      </c>
      <c r="F69" s="65">
        <f>SUM(F70:F72)</f>
        <v>991.7620399999998</v>
      </c>
      <c r="G69" s="63">
        <f t="shared" si="0"/>
        <v>95.81214381839241</v>
      </c>
    </row>
    <row r="70" spans="1:7" ht="73.5" customHeight="1">
      <c r="A70" s="51" t="s">
        <v>234</v>
      </c>
      <c r="B70" s="37" t="s">
        <v>200</v>
      </c>
      <c r="C70" s="37" t="s">
        <v>9</v>
      </c>
      <c r="D70" s="37" t="s">
        <v>2</v>
      </c>
      <c r="E70" s="63">
        <f>SUM('Приложение 3'!G165+'Приложение 3'!G192)-E71-E72</f>
        <v>367.72451999999987</v>
      </c>
      <c r="F70" s="63">
        <f>SUM('Приложение 3'!H165+'Приложение 3'!H192)-F71-F72</f>
        <v>324.37555999999984</v>
      </c>
      <c r="G70" s="63">
        <f t="shared" si="0"/>
        <v>88.21156663689436</v>
      </c>
    </row>
    <row r="71" spans="1:7" ht="62.25" customHeight="1">
      <c r="A71" s="51" t="s">
        <v>293</v>
      </c>
      <c r="B71" s="37" t="s">
        <v>200</v>
      </c>
      <c r="C71" s="37" t="s">
        <v>9</v>
      </c>
      <c r="D71" s="37" t="s">
        <v>6</v>
      </c>
      <c r="E71" s="63">
        <f>631.92+23.9568</f>
        <v>655.8768</v>
      </c>
      <c r="F71" s="63">
        <f>631.92+23.9568</f>
        <v>655.8768</v>
      </c>
      <c r="G71" s="63">
        <f t="shared" si="0"/>
        <v>100</v>
      </c>
    </row>
    <row r="72" spans="1:7" ht="14.25" customHeight="1">
      <c r="A72" s="51" t="s">
        <v>328</v>
      </c>
      <c r="B72" s="37" t="s">
        <v>200</v>
      </c>
      <c r="C72" s="37" t="s">
        <v>9</v>
      </c>
      <c r="D72" s="37" t="s">
        <v>12</v>
      </c>
      <c r="E72" s="63">
        <v>11.50968</v>
      </c>
      <c r="F72" s="63">
        <v>11.50968</v>
      </c>
      <c r="G72" s="63">
        <f t="shared" si="0"/>
        <v>100</v>
      </c>
    </row>
    <row r="73" spans="1:7" ht="40.5" customHeight="1">
      <c r="A73" s="50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4" t="s">
        <v>180</v>
      </c>
      <c r="C73" s="64">
        <f>'Приложение 3'!E134</f>
        <v>0</v>
      </c>
      <c r="D73" s="64" t="s">
        <v>173</v>
      </c>
      <c r="E73" s="65">
        <f>SUM('Приложение 3'!G77)</f>
        <v>0</v>
      </c>
      <c r="F73" s="65">
        <f>SUM('Приложение 3'!H77)</f>
        <v>0</v>
      </c>
      <c r="G73" s="63" t="e">
        <f>SUM(F73/E73)*100</f>
        <v>#DIV/0!</v>
      </c>
    </row>
    <row r="74" spans="1:7" ht="36">
      <c r="A74" s="51" t="s">
        <v>192</v>
      </c>
      <c r="B74" s="37" t="s">
        <v>180</v>
      </c>
      <c r="C74" s="37" t="s">
        <v>9</v>
      </c>
      <c r="D74" s="37" t="s">
        <v>2</v>
      </c>
      <c r="E74" s="63">
        <f>SUM('Приложение 3'!G78)</f>
        <v>0</v>
      </c>
      <c r="F74" s="63">
        <f>SUM('Приложение 3'!H78)</f>
        <v>0</v>
      </c>
      <c r="G74" s="63" t="e">
        <f>SUM(F74/E74)*100</f>
        <v>#DIV/0!</v>
      </c>
    </row>
    <row r="75" spans="1:9" ht="12.75">
      <c r="A75" s="46" t="s">
        <v>98</v>
      </c>
      <c r="B75" s="37"/>
      <c r="C75" s="38"/>
      <c r="D75" s="68"/>
      <c r="E75" s="65">
        <f>SUM(E9+E11+E24+E28+E32+E46+E48+E50+E52+E54+E56+E60+E62+E69+E73+E41+E67+E43+E21+E30)</f>
        <v>191800.92495</v>
      </c>
      <c r="F75" s="65">
        <f>SUM(F9+F11+F24+F28+F32+F46+F48+F50+F52+F54+F56+F60+F62+F69+F73+F41+F67+F43+F21+F30)</f>
        <v>189453.56999999998</v>
      </c>
      <c r="G75" s="63">
        <f>SUM(F75/E75)*100</f>
        <v>98.77615034932083</v>
      </c>
      <c r="H75" s="28">
        <f>SUM(E75+'Таблица №13'!E34)</f>
        <v>489783.49876</v>
      </c>
      <c r="I75" s="28">
        <f>SUM(F75+'Таблица №13'!F34)</f>
        <v>487191.30163999985</v>
      </c>
    </row>
    <row r="76" spans="4:5" ht="15">
      <c r="D76" s="17"/>
      <c r="E76" s="81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F13" sqref="F13"/>
    </sheetView>
  </sheetViews>
  <sheetFormatPr defaultColWidth="9.140625" defaultRowHeight="12.75" outlineLevelRow="5"/>
  <cols>
    <col min="1" max="1" width="46.421875" style="7" customWidth="1"/>
    <col min="2" max="2" width="5.57421875" style="12" customWidth="1"/>
    <col min="3" max="3" width="4.57421875" style="13" customWidth="1"/>
    <col min="4" max="4" width="4.8515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5" t="s">
        <v>218</v>
      </c>
      <c r="D1" s="115"/>
      <c r="E1" s="115"/>
      <c r="F1" s="115"/>
      <c r="G1" s="115"/>
    </row>
    <row r="2" spans="3:7" ht="16.5">
      <c r="C2" s="115" t="s">
        <v>122</v>
      </c>
      <c r="D2" s="115"/>
      <c r="E2" s="115"/>
      <c r="F2" s="115"/>
      <c r="G2" s="115"/>
    </row>
    <row r="3" spans="3:7" ht="16.5">
      <c r="C3" s="115" t="s">
        <v>123</v>
      </c>
      <c r="D3" s="115"/>
      <c r="E3" s="115"/>
      <c r="F3" s="115"/>
      <c r="G3" s="115"/>
    </row>
    <row r="4" spans="1:7" ht="21.75" customHeight="1">
      <c r="A4" s="8"/>
      <c r="B4" s="1"/>
      <c r="C4" s="115" t="s">
        <v>149</v>
      </c>
      <c r="D4" s="115"/>
      <c r="E4" s="115"/>
      <c r="F4" s="115"/>
      <c r="G4" s="115"/>
    </row>
    <row r="5" spans="1:7" ht="39.75" customHeight="1">
      <c r="A5" s="122" t="s">
        <v>301</v>
      </c>
      <c r="B5" s="122"/>
      <c r="C5" s="122"/>
      <c r="D5" s="122"/>
      <c r="E5" s="122"/>
      <c r="F5" s="122"/>
      <c r="G5" s="122"/>
    </row>
    <row r="6" spans="1:4" ht="12.75" hidden="1">
      <c r="A6" s="29"/>
      <c r="B6" s="30"/>
      <c r="C6" s="31"/>
      <c r="D6" s="32"/>
    </row>
    <row r="7" spans="1:7" ht="12.75">
      <c r="A7" s="29"/>
      <c r="B7" s="30"/>
      <c r="C7" s="31"/>
      <c r="D7" s="32"/>
      <c r="E7" s="124"/>
      <c r="F7" s="124"/>
      <c r="G7" s="78" t="s">
        <v>290</v>
      </c>
    </row>
    <row r="8" spans="1:7" ht="81" customHeight="1">
      <c r="A8" s="36" t="s">
        <v>1</v>
      </c>
      <c r="B8" s="82" t="s">
        <v>336</v>
      </c>
      <c r="C8" s="86" t="s">
        <v>8</v>
      </c>
      <c r="D8" s="82" t="s">
        <v>337</v>
      </c>
      <c r="E8" s="33" t="s">
        <v>344</v>
      </c>
      <c r="F8" s="33" t="s">
        <v>346</v>
      </c>
      <c r="G8" s="33" t="s">
        <v>345</v>
      </c>
    </row>
    <row r="9" spans="1:7" ht="63" customHeight="1" outlineLevel="5">
      <c r="A9" s="4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4" t="s">
        <v>14</v>
      </c>
      <c r="C9" s="64" t="s">
        <v>9</v>
      </c>
      <c r="D9" s="64"/>
      <c r="E9" s="65">
        <f>SUM(E10)</f>
        <v>45027.06622</v>
      </c>
      <c r="F9" s="65">
        <f>SUM(F10)</f>
        <v>45027.06622</v>
      </c>
      <c r="G9" s="63">
        <f aca="true" t="shared" si="0" ref="G9:G34">SUM(F9/E9)*100</f>
        <v>100</v>
      </c>
    </row>
    <row r="10" spans="1:7" ht="28.5" customHeight="1" outlineLevel="2">
      <c r="A10" s="46" t="str">
        <f>'Приложение 3'!A80</f>
        <v>Предоставление субсидий бюджетным, автономным учреждениям и иным некоммерческим организациям</v>
      </c>
      <c r="B10" s="37" t="s">
        <v>14</v>
      </c>
      <c r="C10" s="37" t="s">
        <v>9</v>
      </c>
      <c r="D10" s="37" t="s">
        <v>170</v>
      </c>
      <c r="E10" s="63">
        <f>SUM('Приложение 3'!G79)</f>
        <v>45027.06622</v>
      </c>
      <c r="F10" s="63">
        <f>SUM('Приложение 3'!H79)</f>
        <v>45027.06622</v>
      </c>
      <c r="G10" s="63">
        <f t="shared" si="0"/>
        <v>100</v>
      </c>
    </row>
    <row r="11" spans="1:7" ht="35.25" customHeight="1" outlineLevel="1">
      <c r="A11" s="47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4" t="str">
        <f>'Приложение 3'!D166</f>
        <v>52</v>
      </c>
      <c r="C11" s="64">
        <f>'Приложение 3'!E166</f>
        <v>0</v>
      </c>
      <c r="D11" s="64"/>
      <c r="E11" s="65">
        <f>SUM(E12)</f>
        <v>23331.66804</v>
      </c>
      <c r="F11" s="65">
        <f>SUM(F12)</f>
        <v>23331.66804</v>
      </c>
      <c r="G11" s="63">
        <f t="shared" si="0"/>
        <v>100</v>
      </c>
    </row>
    <row r="12" spans="1:7" ht="27.75" customHeight="1" outlineLevel="1">
      <c r="A12" s="46" t="str">
        <f>'Приложение 3'!A167</f>
        <v>Предоставление субсидий бюджетным, автономным учреждениям и иным некоммерческим организациям</v>
      </c>
      <c r="B12" s="37" t="str">
        <f>'Приложение 3'!D167</f>
        <v>52</v>
      </c>
      <c r="C12" s="37">
        <f>'Приложение 3'!E167</f>
        <v>0</v>
      </c>
      <c r="D12" s="37" t="s">
        <v>170</v>
      </c>
      <c r="E12" s="63">
        <f>SUM('Приложение 3'!G166)</f>
        <v>23331.66804</v>
      </c>
      <c r="F12" s="63">
        <f>SUM('Приложение 3'!H166)</f>
        <v>23331.66804</v>
      </c>
      <c r="G12" s="63">
        <f t="shared" si="0"/>
        <v>100</v>
      </c>
    </row>
    <row r="13" spans="1:7" ht="36" outlineLevel="5">
      <c r="A13" s="47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4" t="str">
        <f>'Приложение 3'!D195</f>
        <v>53</v>
      </c>
      <c r="C13" s="64">
        <f>'Приложение 3'!E195</f>
        <v>0</v>
      </c>
      <c r="D13" s="64"/>
      <c r="E13" s="65">
        <f>SUM(E14+E16+E21)</f>
        <v>205403.67912999997</v>
      </c>
      <c r="F13" s="65">
        <f>SUM(F14+F16+F21)</f>
        <v>205158.83695999996</v>
      </c>
      <c r="G13" s="63">
        <f t="shared" si="0"/>
        <v>99.88079952071108</v>
      </c>
    </row>
    <row r="14" spans="1:7" ht="13.5" customHeight="1" outlineLevel="5">
      <c r="A14" s="47" t="str">
        <f>'Приложение 3'!A173</f>
        <v>Подпрограмма "Развитие дошкольного образования детей"</v>
      </c>
      <c r="B14" s="64" t="str">
        <f>'Приложение 3'!D196</f>
        <v>53</v>
      </c>
      <c r="C14" s="64" t="s">
        <v>176</v>
      </c>
      <c r="D14" s="64"/>
      <c r="E14" s="65">
        <f>SUM(E15)</f>
        <v>11531.81187</v>
      </c>
      <c r="F14" s="65">
        <f>SUM(F15)</f>
        <v>11424.21187</v>
      </c>
      <c r="G14" s="63">
        <f t="shared" si="0"/>
        <v>99.06692893351892</v>
      </c>
    </row>
    <row r="15" spans="1:7" ht="24" outlineLevel="5">
      <c r="A15" s="46" t="str">
        <f>'Приложение 3'!A176</f>
        <v>Предоставление субсидий бюджетным, автономным учреждениям и иным некоммерческим организациям</v>
      </c>
      <c r="B15" s="37" t="s">
        <v>20</v>
      </c>
      <c r="C15" s="37" t="s">
        <v>176</v>
      </c>
      <c r="D15" s="37" t="s">
        <v>9</v>
      </c>
      <c r="E15" s="63">
        <f>SUM('Приложение 3'!G172)</f>
        <v>11531.81187</v>
      </c>
      <c r="F15" s="63">
        <f>SUM('Приложение 3'!H172)</f>
        <v>11424.21187</v>
      </c>
      <c r="G15" s="63">
        <f t="shared" si="0"/>
        <v>99.06692893351892</v>
      </c>
    </row>
    <row r="16" spans="1:7" ht="15" customHeight="1" outlineLevel="5">
      <c r="A16" s="47" t="str">
        <f>'Приложение 3'!A196</f>
        <v>Подпрограмма "Развитие общего образования детей"</v>
      </c>
      <c r="B16" s="64" t="s">
        <v>20</v>
      </c>
      <c r="C16" s="64" t="s">
        <v>177</v>
      </c>
      <c r="D16" s="64"/>
      <c r="E16" s="65">
        <f>SUM(E17:E20)</f>
        <v>182832.72804999998</v>
      </c>
      <c r="F16" s="65">
        <f>SUM(F17:F20)</f>
        <v>182695.48587999996</v>
      </c>
      <c r="G16" s="63">
        <f t="shared" si="0"/>
        <v>99.92493566580569</v>
      </c>
    </row>
    <row r="17" spans="1:7" ht="49.5" customHeight="1" outlineLevel="5">
      <c r="A17" s="46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7" t="s">
        <v>20</v>
      </c>
      <c r="C17" s="37" t="s">
        <v>177</v>
      </c>
      <c r="D17" s="37" t="s">
        <v>168</v>
      </c>
      <c r="E17" s="63">
        <f>SUM('Приложение 3'!G198+'Приложение 3'!G205+'Приложение 3'!G206+'Приложение 3'!G207)</f>
        <v>7623.899090000001</v>
      </c>
      <c r="F17" s="63">
        <f>SUM('Приложение 3'!H198+'Приложение 3'!H205+'Приложение 3'!H206+'Приложение 3'!H207)</f>
        <v>7623.899090000001</v>
      </c>
      <c r="G17" s="63">
        <f t="shared" si="0"/>
        <v>100</v>
      </c>
    </row>
    <row r="18" spans="1:7" ht="26.25" customHeight="1" outlineLevel="5">
      <c r="A18" s="46" t="str">
        <f>'Приложение 3'!A199</f>
        <v>Закупка товаров, работ и услуг для государственных (муниципальных) нужд</v>
      </c>
      <c r="B18" s="37" t="s">
        <v>20</v>
      </c>
      <c r="C18" s="37" t="s">
        <v>177</v>
      </c>
      <c r="D18" s="37" t="s">
        <v>147</v>
      </c>
      <c r="E18" s="63">
        <f>SUM('Приложение 3'!G199+'Приложение 3'!G208+'Приложение 3'!G209+'Приложение 3'!G210+'Приложение 3'!G200)</f>
        <v>1190.8455999999999</v>
      </c>
      <c r="F18" s="63">
        <f>SUM('Приложение 3'!H199+'Приложение 3'!H208+'Приложение 3'!H209+'Приложение 3'!H210+'Приложение 3'!H200)</f>
        <v>1178.2868199999998</v>
      </c>
      <c r="G18" s="63">
        <f t="shared" si="0"/>
        <v>98.94538972978528</v>
      </c>
    </row>
    <row r="19" spans="1:7" ht="12.75" customHeight="1" outlineLevel="5">
      <c r="A19" s="46" t="str">
        <f>'Приложение 3'!A201</f>
        <v>Иные бюджетные ассигнования</v>
      </c>
      <c r="B19" s="37" t="s">
        <v>20</v>
      </c>
      <c r="C19" s="37" t="s">
        <v>177</v>
      </c>
      <c r="D19" s="37" t="s">
        <v>169</v>
      </c>
      <c r="E19" s="63">
        <f>SUM('Приложение 3'!G201)</f>
        <v>44.56235</v>
      </c>
      <c r="F19" s="63">
        <f>SUM('Приложение 3'!H201)</f>
        <v>44.56235</v>
      </c>
      <c r="G19" s="63">
        <f t="shared" si="0"/>
        <v>100</v>
      </c>
    </row>
    <row r="20" spans="1:7" ht="26.25" customHeight="1" outlineLevel="5">
      <c r="A20" s="46" t="str">
        <f>'Приложение 3'!A202</f>
        <v>Предоставление субсидий бюджетным, автономным учреждениям и иным некоммерческим организациям</v>
      </c>
      <c r="B20" s="37" t="s">
        <v>20</v>
      </c>
      <c r="C20" s="37" t="s">
        <v>177</v>
      </c>
      <c r="D20" s="37" t="s">
        <v>170</v>
      </c>
      <c r="E20" s="63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173973.42100999996</v>
      </c>
      <c r="F20" s="63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173848.73761999997</v>
      </c>
      <c r="G20" s="63">
        <f t="shared" si="0"/>
        <v>99.92833193181112</v>
      </c>
    </row>
    <row r="21" spans="1:7" ht="24" outlineLevel="3">
      <c r="A21" s="47" t="str">
        <f>'Приложение 3'!A223</f>
        <v>Подпрограмма "Развитие дополнительного образования детей"</v>
      </c>
      <c r="B21" s="64" t="str">
        <f>'Приложение 3'!D222</f>
        <v>53</v>
      </c>
      <c r="C21" s="64" t="s">
        <v>178</v>
      </c>
      <c r="D21" s="64"/>
      <c r="E21" s="65">
        <f>SUM(E22:E23)</f>
        <v>11039.139210000001</v>
      </c>
      <c r="F21" s="65">
        <f>SUM(F22:F23)</f>
        <v>11039.139210000001</v>
      </c>
      <c r="G21" s="63">
        <f t="shared" si="0"/>
        <v>100</v>
      </c>
    </row>
    <row r="22" spans="1:7" ht="24.75" customHeight="1" outlineLevel="3">
      <c r="A22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7" t="str">
        <f>'Приложение 3'!D224</f>
        <v>53</v>
      </c>
      <c r="C22" s="37">
        <f>'Приложение 3'!E224</f>
        <v>3</v>
      </c>
      <c r="D22" s="40">
        <f>'Приложение 3'!F224</f>
        <v>600</v>
      </c>
      <c r="E22" s="63">
        <f>'Приложение 3'!G224</f>
        <v>6188.391790000001</v>
      </c>
      <c r="F22" s="63">
        <f>'Приложение 3'!H224</f>
        <v>6188.391790000001</v>
      </c>
      <c r="G22" s="63">
        <f t="shared" si="0"/>
        <v>100</v>
      </c>
    </row>
    <row r="23" spans="1:7" ht="35.25" customHeight="1" outlineLevel="3">
      <c r="A23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7" t="str">
        <f>'Приложение 3'!D225</f>
        <v>53</v>
      </c>
      <c r="C23" s="37">
        <f>'Приложение 3'!E225</f>
        <v>3</v>
      </c>
      <c r="D23" s="40">
        <f>'Приложение 3'!F225</f>
        <v>600</v>
      </c>
      <c r="E23" s="63">
        <f>'Приложение 3'!G225</f>
        <v>4850.747420000001</v>
      </c>
      <c r="F23" s="63">
        <f>'Приложение 3'!H225</f>
        <v>4850.747420000001</v>
      </c>
      <c r="G23" s="63">
        <f t="shared" si="0"/>
        <v>100</v>
      </c>
    </row>
    <row r="24" spans="1:7" ht="36" outlineLevel="3">
      <c r="A24" s="48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4" t="str">
        <f>'Приложение 3'!D236</f>
        <v>56</v>
      </c>
      <c r="C24" s="64">
        <f>'Приложение 3'!E236</f>
        <v>0</v>
      </c>
      <c r="D24" s="64"/>
      <c r="E24" s="65">
        <f>SUM(E25)</f>
        <v>5073.675039999999</v>
      </c>
      <c r="F24" s="65">
        <f>SUM(F25)</f>
        <v>5073.675039999999</v>
      </c>
      <c r="G24" s="63">
        <f t="shared" si="0"/>
        <v>100</v>
      </c>
    </row>
    <row r="25" spans="1:7" ht="24" outlineLevel="3">
      <c r="A25" s="45" t="str">
        <f>'Приложение 3'!A237</f>
        <v>Предоставление субсидий бюджетным, автономным учреждениям и иным некоммерческим организациям</v>
      </c>
      <c r="B25" s="37" t="str">
        <f>'Приложение 3'!D237</f>
        <v>56</v>
      </c>
      <c r="C25" s="37">
        <f>'Приложение 3'!E237</f>
        <v>0</v>
      </c>
      <c r="D25" s="37">
        <f>'Приложение 3'!F237</f>
        <v>600</v>
      </c>
      <c r="E25" s="63">
        <f>SUM('Приложение 3'!G236)</f>
        <v>5073.675039999999</v>
      </c>
      <c r="F25" s="63">
        <f>SUM('Приложение 3'!H236)</f>
        <v>5073.675039999999</v>
      </c>
      <c r="G25" s="63">
        <f t="shared" si="0"/>
        <v>100</v>
      </c>
    </row>
    <row r="26" spans="1:7" ht="48" outlineLevel="3">
      <c r="A26" s="48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4" t="str">
        <f>'Приложение 3'!D245</f>
        <v>58</v>
      </c>
      <c r="C26" s="64">
        <f>'Приложение 3'!E245</f>
        <v>0</v>
      </c>
      <c r="D26" s="64"/>
      <c r="E26" s="65">
        <f>SUM(E27:E29)</f>
        <v>1413.10576</v>
      </c>
      <c r="F26" s="65">
        <f>SUM(F27:F29)</f>
        <v>1413.10576</v>
      </c>
      <c r="G26" s="63">
        <f t="shared" si="0"/>
        <v>100</v>
      </c>
    </row>
    <row r="27" spans="1:7" ht="48" outlineLevel="3">
      <c r="A27" s="45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7" t="s">
        <v>22</v>
      </c>
      <c r="C27" s="37" t="s">
        <v>9</v>
      </c>
      <c r="D27" s="37" t="s">
        <v>168</v>
      </c>
      <c r="E27" s="63">
        <f>SUM('Приложение 3'!G246)</f>
        <v>1413.10576</v>
      </c>
      <c r="F27" s="63">
        <f>SUM('Приложение 3'!H246)</f>
        <v>1413.10576</v>
      </c>
      <c r="G27" s="63">
        <f t="shared" si="0"/>
        <v>100</v>
      </c>
    </row>
    <row r="28" spans="1:7" ht="24" outlineLevel="3">
      <c r="A28" s="45" t="str">
        <f>'Приложение 3'!A247</f>
        <v>Закупка товаров, работ и услуг для государственных (муниципальных) нужд</v>
      </c>
      <c r="B28" s="37" t="s">
        <v>22</v>
      </c>
      <c r="C28" s="37" t="s">
        <v>9</v>
      </c>
      <c r="D28" s="37" t="s">
        <v>147</v>
      </c>
      <c r="E28" s="63">
        <f>SUM('Приложение 3'!G247)</f>
        <v>0</v>
      </c>
      <c r="F28" s="63">
        <f>SUM('Приложение 3'!H247)</f>
        <v>0</v>
      </c>
      <c r="G28" s="63" t="e">
        <f t="shared" si="0"/>
        <v>#DIV/0!</v>
      </c>
    </row>
    <row r="29" spans="1:7" ht="12.75" outlineLevel="3">
      <c r="A29" s="45" t="str">
        <f>'Приложение 3'!A248</f>
        <v>Иные бюджетные ассигнования</v>
      </c>
      <c r="B29" s="37" t="s">
        <v>22</v>
      </c>
      <c r="C29" s="37" t="s">
        <v>9</v>
      </c>
      <c r="D29" s="37" t="s">
        <v>169</v>
      </c>
      <c r="E29" s="63">
        <f>SUM('Приложение 3'!G248)</f>
        <v>0</v>
      </c>
      <c r="F29" s="63">
        <f>SUM('Приложение 3'!H248)</f>
        <v>0</v>
      </c>
      <c r="G29" s="63" t="e">
        <f t="shared" si="0"/>
        <v>#DIV/0!</v>
      </c>
    </row>
    <row r="30" spans="1:7" ht="36" outlineLevel="5">
      <c r="A30" s="48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30" s="64" t="str">
        <f>'Приложение 3'!D263</f>
        <v>59</v>
      </c>
      <c r="C30" s="64">
        <f>'Приложение 3'!E263</f>
        <v>0</v>
      </c>
      <c r="D30" s="64"/>
      <c r="E30" s="65">
        <f>SUM(E31)</f>
        <v>15552.279620000001</v>
      </c>
      <c r="F30" s="65">
        <f>SUM(F31)</f>
        <v>15552.279620000001</v>
      </c>
      <c r="G30" s="63">
        <f t="shared" si="0"/>
        <v>100</v>
      </c>
    </row>
    <row r="31" spans="1:7" ht="24" outlineLevel="5">
      <c r="A31" s="45" t="str">
        <f>'Приложение 3'!A265</f>
        <v>Предоставление субсидий бюджетным, автономным учреждениям и иным некоммерческим организациям</v>
      </c>
      <c r="B31" s="37" t="s">
        <v>23</v>
      </c>
      <c r="C31" s="37" t="s">
        <v>9</v>
      </c>
      <c r="D31" s="37" t="s">
        <v>170</v>
      </c>
      <c r="E31" s="63">
        <f>SUM('Приложение 3'!G263)</f>
        <v>15552.279620000001</v>
      </c>
      <c r="F31" s="63">
        <f>SUM('Приложение 3'!H263)</f>
        <v>15552.279620000001</v>
      </c>
      <c r="G31" s="63">
        <f t="shared" si="0"/>
        <v>100</v>
      </c>
    </row>
    <row r="32" spans="1:7" ht="36">
      <c r="A32" s="47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" s="64" t="str">
        <f>'Приложение 3'!D325</f>
        <v>61</v>
      </c>
      <c r="C32" s="64">
        <f>'Приложение 3'!E325</f>
        <v>0</v>
      </c>
      <c r="D32" s="64"/>
      <c r="E32" s="65">
        <f>SUM(E33)</f>
        <v>2181.1</v>
      </c>
      <c r="F32" s="65">
        <f>SUM(F33)</f>
        <v>2181.1</v>
      </c>
      <c r="G32" s="63">
        <f t="shared" si="0"/>
        <v>100</v>
      </c>
    </row>
    <row r="33" spans="1:7" ht="24">
      <c r="A33" s="46" t="str">
        <f>'Приложение 3'!A326</f>
        <v>Предоставление субсидий бюджетным, автономным учреждениям и иным некоммерческим организациям</v>
      </c>
      <c r="B33" s="37" t="str">
        <f>'Приложение 3'!D326</f>
        <v>61</v>
      </c>
      <c r="C33" s="37">
        <f>'Приложение 3'!E326</f>
        <v>0</v>
      </c>
      <c r="D33" s="37">
        <f>'Приложение 3'!F326</f>
        <v>600</v>
      </c>
      <c r="E33" s="63">
        <f>'Приложение 3'!G325</f>
        <v>2181.1</v>
      </c>
      <c r="F33" s="63">
        <f>'Приложение 3'!H325</f>
        <v>2181.1</v>
      </c>
      <c r="G33" s="63">
        <f t="shared" si="0"/>
        <v>100</v>
      </c>
    </row>
    <row r="34" spans="1:7" ht="12.75">
      <c r="A34" s="47" t="s">
        <v>98</v>
      </c>
      <c r="B34" s="64"/>
      <c r="C34" s="66"/>
      <c r="D34" s="67"/>
      <c r="E34" s="65">
        <f>SUM(E9+E11+E13+E24+E26+E30+E32)</f>
        <v>297982.57381</v>
      </c>
      <c r="F34" s="65">
        <f>SUM(F9+F11+F13+F24+F26+F30+F32)</f>
        <v>297737.7316399999</v>
      </c>
      <c r="G34" s="63">
        <f t="shared" si="0"/>
        <v>99.91783339311775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2022-03-10T10:52:33Z</cp:lastPrinted>
  <dcterms:created xsi:type="dcterms:W3CDTF">2002-03-11T10:22:12Z</dcterms:created>
  <dcterms:modified xsi:type="dcterms:W3CDTF">2022-03-10T10:53:11Z</dcterms:modified>
  <cp:category/>
  <cp:version/>
  <cp:contentType/>
  <cp:contentStatus/>
</cp:coreProperties>
</file>